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240" yWindow="120" windowWidth="16275" windowHeight="6975"/>
  </bookViews>
  <sheets>
    <sheet name="Entire Form" sheetId="1" r:id="rId1"/>
    <sheet name="Reference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4" i="1" l="1"/>
  <c r="B45" i="1"/>
  <c r="E26" i="1" l="1"/>
  <c r="B73" i="1" l="1"/>
  <c r="E33" i="1"/>
  <c r="B46" i="1"/>
  <c r="B49" i="1" s="1"/>
  <c r="E48" i="1"/>
  <c r="E47" i="1"/>
  <c r="E46" i="1"/>
  <c r="E45" i="1"/>
  <c r="E44" i="1"/>
  <c r="E43" i="1"/>
  <c r="E38" i="1"/>
  <c r="E37" i="1"/>
  <c r="E36" i="1"/>
  <c r="E35" i="1"/>
  <c r="B51" i="1"/>
  <c r="B50" i="1"/>
  <c r="D43" i="1"/>
  <c r="D42" i="1"/>
  <c r="D36" i="1"/>
  <c r="D35" i="1"/>
  <c r="B39" i="1" s="1"/>
  <c r="B40" i="1" s="1"/>
  <c r="D34" i="1"/>
  <c r="B18" i="1"/>
  <c r="B16" i="1"/>
  <c r="B53" i="1" l="1"/>
  <c r="B54" i="1" s="1"/>
  <c r="E54" i="1" s="1"/>
  <c r="B21" i="1"/>
  <c r="E118" i="1"/>
  <c r="B117" i="1"/>
  <c r="E117" i="1" s="1"/>
  <c r="B114" i="1"/>
  <c r="E114" i="1" s="1"/>
  <c r="E113" i="1"/>
  <c r="E112" i="1"/>
  <c r="E111" i="1"/>
  <c r="E110" i="1"/>
  <c r="E109" i="1"/>
  <c r="E108" i="1"/>
  <c r="E105" i="1"/>
  <c r="E104" i="1"/>
  <c r="E103" i="1"/>
  <c r="E102" i="1"/>
  <c r="E100" i="1"/>
  <c r="E98" i="1"/>
  <c r="B98" i="1"/>
  <c r="B96" i="1"/>
  <c r="B97" i="1"/>
  <c r="B94" i="1"/>
  <c r="E92" i="1"/>
  <c r="B85" i="1"/>
  <c r="E85" i="1" s="1"/>
  <c r="E81" i="1"/>
  <c r="D79" i="1"/>
  <c r="E79" i="1" s="1"/>
  <c r="B26" i="1"/>
  <c r="B52" i="1" s="1"/>
  <c r="B57" i="1" s="1"/>
  <c r="B19" i="1"/>
  <c r="B29" i="1"/>
  <c r="E30" i="1" s="1"/>
  <c r="B61" i="1" l="1"/>
  <c r="E61" i="1" s="1"/>
  <c r="B66" i="1"/>
  <c r="E66" i="1" s="1"/>
  <c r="B59" i="1"/>
  <c r="E59" i="1" s="1"/>
  <c r="B64" i="1"/>
  <c r="E64" i="1" s="1"/>
  <c r="B89" i="1"/>
  <c r="E89" i="1" s="1"/>
  <c r="B87" i="1"/>
  <c r="E87" i="1" s="1"/>
  <c r="B88" i="1"/>
  <c r="E88" i="1" s="1"/>
  <c r="B67" i="1"/>
  <c r="E67" i="1" s="1"/>
</calcChain>
</file>

<file path=xl/sharedStrings.xml><?xml version="1.0" encoding="utf-8"?>
<sst xmlns="http://schemas.openxmlformats.org/spreadsheetml/2006/main" count="195" uniqueCount="145">
  <si>
    <t>Please complete the yellow shaded items.</t>
  </si>
  <si>
    <t>STORMWATER MANAGEMENT PERMIT APPLICATION FORM</t>
  </si>
  <si>
    <t>I.  PROJECT INFORMATION</t>
  </si>
  <si>
    <t>Project name</t>
  </si>
  <si>
    <t>Contact name</t>
  </si>
  <si>
    <t>Phone number</t>
  </si>
  <si>
    <t>Date</t>
  </si>
  <si>
    <t>II.  DESIGN INFORMATION</t>
  </si>
  <si>
    <t>Site Characteristics</t>
  </si>
  <si>
    <t>Drainage area</t>
  </si>
  <si>
    <r>
      <t>ft</t>
    </r>
    <r>
      <rPr>
        <vertAlign val="superscript"/>
        <sz val="13"/>
        <rFont val="Arial Narrow"/>
        <family val="2"/>
      </rPr>
      <t>2</t>
    </r>
  </si>
  <si>
    <t>acres</t>
  </si>
  <si>
    <t>Impervious area</t>
  </si>
  <si>
    <t>Percent impervious</t>
  </si>
  <si>
    <t/>
  </si>
  <si>
    <t>%</t>
  </si>
  <si>
    <t>Peak Flow Calculations</t>
  </si>
  <si>
    <t>in</t>
  </si>
  <si>
    <r>
      <t>ft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/sec</t>
    </r>
  </si>
  <si>
    <t xml:space="preserve">ft </t>
  </si>
  <si>
    <r>
      <t>ft</t>
    </r>
    <r>
      <rPr>
        <vertAlign val="superscript"/>
        <sz val="13"/>
        <rFont val="Arial Narrow"/>
        <family val="2"/>
      </rPr>
      <t>3</t>
    </r>
  </si>
  <si>
    <t>1.5" runoff volume</t>
  </si>
  <si>
    <t>Outlet Design</t>
  </si>
  <si>
    <t>0</t>
  </si>
  <si>
    <r>
      <t>Depth of temporary pool/ponding depth (D</t>
    </r>
    <r>
      <rPr>
        <vertAlign val="subscript"/>
        <sz val="13"/>
        <rFont val="Arial Narrow"/>
        <family val="2"/>
      </rPr>
      <t>Plants</t>
    </r>
    <r>
      <rPr>
        <sz val="13"/>
        <rFont val="Arial Narrow"/>
        <family val="2"/>
      </rPr>
      <t>)</t>
    </r>
  </si>
  <si>
    <t>days</t>
  </si>
  <si>
    <t>(unitless)</t>
  </si>
  <si>
    <t>ft</t>
  </si>
  <si>
    <t>Surface Areas of Wetland Zones</t>
  </si>
  <si>
    <t>Surface Area of Entire Wetland</t>
  </si>
  <si>
    <t>Shallow Land</t>
  </si>
  <si>
    <t>The shallow land percentage is:</t>
  </si>
  <si>
    <t>Shallow Water</t>
  </si>
  <si>
    <t>The shallow water percentage is:</t>
  </si>
  <si>
    <t>Deep Pool</t>
  </si>
  <si>
    <t>Forebay portion of deep pool (pretreatment)</t>
  </si>
  <si>
    <t>The forebay surface area percentage is:</t>
  </si>
  <si>
    <t>Non-forebay portion of deep pool</t>
  </si>
  <si>
    <t>The non-forebay deep pool surface area percentage is:</t>
  </si>
  <si>
    <t>Total of wetland zone areas</t>
  </si>
  <si>
    <t>Topographic Zone Elevations</t>
  </si>
  <si>
    <t>Temporary Pool Elevation (TPE)</t>
  </si>
  <si>
    <t>Shallow Land (top)</t>
  </si>
  <si>
    <t>ft amsl</t>
  </si>
  <si>
    <t>Permanent Pool Elevation (PPE)</t>
  </si>
  <si>
    <t>Shallow Water/Deep Pool (top)</t>
  </si>
  <si>
    <t>Shallow Water bottom</t>
  </si>
  <si>
    <t>Most shallow point of deep pool's bottom</t>
  </si>
  <si>
    <t>Deepest point of deep pool's bottom</t>
  </si>
  <si>
    <t>Design must meet one of the following two options:</t>
  </si>
  <si>
    <t>SHWT (Seasonally High Water Table)</t>
  </si>
  <si>
    <t>Depth of topsoil above impermeable liner</t>
  </si>
  <si>
    <t>Topographic Zone Depths</t>
  </si>
  <si>
    <t>Temporary Pool</t>
  </si>
  <si>
    <t>Permanent Pool</t>
  </si>
  <si>
    <t>Deep Pool (shallowest)</t>
  </si>
  <si>
    <t>Deep Pool (deepest)</t>
  </si>
  <si>
    <t>Planting Plan</t>
  </si>
  <si>
    <t>Are cattails included in the planting plan?</t>
  </si>
  <si>
    <t>Number of Plants recommended in Shallow Water Area:</t>
  </si>
  <si>
    <r>
      <t>Herbaceous (4</t>
    </r>
    <r>
      <rPr>
        <vertAlign val="superscript"/>
        <sz val="13"/>
        <rFont val="Arial Narrow"/>
        <family val="2"/>
      </rPr>
      <t xml:space="preserve">+ </t>
    </r>
    <r>
      <rPr>
        <sz val="13"/>
        <rFont val="Arial Narrow"/>
        <family val="2"/>
      </rPr>
      <t>cubic-inch container)</t>
    </r>
  </si>
  <si>
    <t>Number of Plants recommended in Shallow Land Area:</t>
  </si>
  <si>
    <t>and</t>
  </si>
  <si>
    <t>Number of Plants provided in Shallow Water Area:</t>
  </si>
  <si>
    <t>Number of Plants provided in Shallow Land Area:</t>
  </si>
  <si>
    <t>Shrubs (1 gallon or larger)</t>
  </si>
  <si>
    <r>
      <t xml:space="preserve">Trees (3 gallon or larger) </t>
    </r>
    <r>
      <rPr>
        <b/>
        <sz val="13"/>
        <rFont val="Arial Narrow"/>
        <family val="2"/>
      </rPr>
      <t>and</t>
    </r>
    <r>
      <rPr>
        <sz val="13"/>
        <rFont val="Arial Narrow"/>
        <family val="2"/>
      </rPr>
      <t xml:space="preserve"> </t>
    </r>
  </si>
  <si>
    <t xml:space="preserve">                                     Grass-like Herbaceous (4+ cubic-inch)</t>
  </si>
  <si>
    <t>Additional Information</t>
  </si>
  <si>
    <t>Can the design volume be contained?</t>
  </si>
  <si>
    <t xml:space="preserve">Does project drain to SA waters?  If yes, </t>
  </si>
  <si>
    <t>Are calculations for supporting the design volume provided in the application?</t>
  </si>
  <si>
    <t>Is BMP sized to handle all runoff from ultimate build-out?</t>
  </si>
  <si>
    <t>Is the BMP located in a recorded drainage easement with a  recorded access easement to a public Right of Way (ROW)?</t>
  </si>
  <si>
    <t>The length to width ratio is:</t>
  </si>
  <si>
    <t>:1</t>
  </si>
  <si>
    <t>Approximate wetland length</t>
  </si>
  <si>
    <t>Approximate wetland width</t>
  </si>
  <si>
    <t>Approximate surface area using length and width provided</t>
  </si>
  <si>
    <t>Will the wetland be stabilized within 14 days of construction?</t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</si>
  <si>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</si>
  <si>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r>
      <t xml:space="preserve">Drainage area </t>
    </r>
    <r>
      <rPr>
        <sz val="10"/>
        <rFont val="Arial Narrow"/>
        <family val="2"/>
      </rPr>
      <t>(Include both on- and off-site areas that flow to the wetland)</t>
    </r>
  </si>
  <si>
    <r>
      <t xml:space="preserve">Impervious surface area </t>
    </r>
    <r>
      <rPr>
        <sz val="10"/>
        <rFont val="Arial Narrow"/>
        <family val="2"/>
      </rPr>
      <t>(Include both on- and off-site areas that flow to the wetland)</t>
    </r>
  </si>
  <si>
    <r>
      <t xml:space="preserve">Peak flow from the </t>
    </r>
    <r>
      <rPr>
        <b/>
        <sz val="13"/>
        <rFont val="Arial Narrow"/>
        <family val="2"/>
      </rPr>
      <t>wooded</t>
    </r>
    <r>
      <rPr>
        <sz val="13"/>
        <rFont val="Arial Narrow"/>
        <family val="2"/>
      </rPr>
      <t xml:space="preserve"> 2-year, 24-hour storm</t>
    </r>
  </si>
  <si>
    <t>Peak flow from the post-development 10-yr storm</t>
  </si>
  <si>
    <t>Pre/Post peak control</t>
  </si>
  <si>
    <t>Project within 0.5 miles &amp; draining to SA Waters</t>
  </si>
  <si>
    <t>Yes</t>
  </si>
  <si>
    <t>No</t>
  </si>
  <si>
    <t>Storage Volume</t>
  </si>
  <si>
    <r>
      <t>Herbaceous (4</t>
    </r>
    <r>
      <rPr>
        <vertAlign val="superscript"/>
        <sz val="13"/>
        <rFont val="Arial Narrow"/>
        <family val="2"/>
      </rPr>
      <t xml:space="preserve">+ </t>
    </r>
    <r>
      <rPr>
        <sz val="13"/>
        <rFont val="Arial Narrow"/>
        <family val="2"/>
      </rPr>
      <t xml:space="preserve">cubic-inch container) </t>
    </r>
    <r>
      <rPr>
        <sz val="10"/>
        <rFont val="Arial Narrow"/>
        <family val="2"/>
      </rPr>
      <t>(Minimum required: 50 per 200 sq ft of shallow water = 2 ft on center)</t>
    </r>
  </si>
  <si>
    <r>
      <t>Herbaceous (4</t>
    </r>
    <r>
      <rPr>
        <vertAlign val="superscript"/>
        <sz val="13"/>
        <rFont val="Arial Narrow"/>
        <family val="2"/>
      </rPr>
      <t xml:space="preserve">+ </t>
    </r>
    <r>
      <rPr>
        <sz val="13"/>
        <rFont val="Arial Narrow"/>
        <family val="2"/>
      </rPr>
      <t xml:space="preserve">cubic-inch container) </t>
    </r>
    <r>
      <rPr>
        <sz val="10"/>
        <rFont val="Arial Narrow"/>
        <family val="2"/>
      </rPr>
      <t>(Minimum required: 50 per 200 sq ft of shallow land = 2 ft on center)</t>
    </r>
    <r>
      <rPr>
        <sz val="13"/>
        <rFont val="Arial Narrow"/>
        <family val="2"/>
      </rPr>
      <t xml:space="preserve">, </t>
    </r>
    <r>
      <rPr>
        <b/>
        <sz val="13"/>
        <rFont val="Arial Narrow"/>
        <family val="2"/>
      </rPr>
      <t>OR</t>
    </r>
  </si>
  <si>
    <r>
      <t xml:space="preserve">Shrubs (1 gallon or larger) </t>
    </r>
    <r>
      <rPr>
        <sz val="10"/>
        <rFont val="Arial Narrow"/>
        <family val="2"/>
      </rPr>
      <t>(Minimum required: 8 per 200 sq ft of shallow land = 5 ft on center)</t>
    </r>
    <r>
      <rPr>
        <sz val="13"/>
        <rFont val="Arial Narrow"/>
        <family val="2"/>
      </rPr>
      <t xml:space="preserve">, </t>
    </r>
    <r>
      <rPr>
        <b/>
        <sz val="13"/>
        <rFont val="Arial Narrow"/>
        <family val="2"/>
      </rPr>
      <t>OR</t>
    </r>
  </si>
  <si>
    <r>
      <t xml:space="preserve">Trees (3 gallon or larger) </t>
    </r>
    <r>
      <rPr>
        <b/>
        <sz val="13"/>
        <rFont val="Arial Narrow"/>
        <family val="2"/>
      </rPr>
      <t>and</t>
    </r>
    <r>
      <rPr>
        <sz val="13"/>
        <rFont val="Arial Narrow"/>
        <family val="2"/>
      </rPr>
      <t xml:space="preserve"> Herbaceous (4+ cubic-inch) </t>
    </r>
    <r>
      <rPr>
        <sz val="10"/>
        <rFont val="Arial Narrow"/>
        <family val="2"/>
      </rPr>
      <t>(Trees are optional, if used recommend: 1 per 200 sq ft plus 40 grass-like herbaceous plants under and around tree)</t>
    </r>
  </si>
  <si>
    <t>What is the length of the vegetated filter strip?</t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</si>
  <si>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</si>
  <si>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</si>
  <si>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</si>
  <si>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</si>
  <si>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</si>
  <si>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 xml:space="preserve">1.  Plans (1" - 50' or larger) of the entire site showing:
- Design at ultimate build-out,
- Off-site drainage (if applicable),
- Delineated drainage basins (include Rational C or Curve Number, CN per basin),
- Forebay, 
- High flow bypass system,
- Maintenance access, 
- Proposed drainage easement and public right of way (ROW), and
- Boundaries of drainage easement. </t>
  </si>
  <si>
    <t xml:space="preserve">2.  Plan details (1" = 30' or larger) for the wetland showing:     
- Wetland dimensions (and length to width ratio),
- Forebay, and
- High flow bypass system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</si>
  <si>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Section view of the wetland (1" = 20' or larger) showing:        
- Side slopes, 3:1 or lower, 
- Wetland layers including: Shallow land, shallow water, deep pools, SHWT, clay liner, and topsoil (if applicable)</t>
  </si>
  <si>
    <t>4.  Detailed planting plan (1" = 20' or larger) showing:
- A variety of suitable species (not including cattails),
- Sizes, spacing, and locations of plantings,
- Total quantity of each type of plant specified,
- A planting detail,
- The source nursery for plants, and
- Fertilizer and watering requirements to establish vegetation.</t>
  </si>
  <si>
    <t>5.  A construction sequence that shows how the wetland will be protected from sediment until the entire drainage area is stabilized.</t>
  </si>
  <si>
    <t>7.  The supporting calculations, including drawdown calculations.</t>
  </si>
  <si>
    <t>6.  A soils report based on actual field investigations and soil borings. County soil maps are not acceptable.</t>
  </si>
  <si>
    <r>
      <t xml:space="preserve">8.  A detailed description for the operation and maintenance of the wetland. Refer to the </t>
    </r>
    <r>
      <rPr>
        <i/>
        <sz val="12"/>
        <rFont val="Arial Narrow"/>
        <family val="2"/>
      </rPr>
      <t>Currituck County Stormwater Manual Appendix B - Sample Maintenance Plan</t>
    </r>
  </si>
  <si>
    <t>This form must be completely filled out, printed, initialed, and submitted.</t>
  </si>
  <si>
    <t>WETLAND</t>
  </si>
  <si>
    <r>
      <t xml:space="preserve">Volume provided </t>
    </r>
    <r>
      <rPr>
        <sz val="10"/>
        <rFont val="Arial Narrow"/>
        <family val="2"/>
      </rPr>
      <t xml:space="preserve"> (Refer to </t>
    </r>
    <r>
      <rPr>
        <i/>
        <sz val="10"/>
        <rFont val="Arial Narrow"/>
        <family val="2"/>
      </rPr>
      <t>Currituck County Stormwater Manual Chapter IV.B.2</t>
    </r>
    <r>
      <rPr>
        <sz val="10"/>
        <rFont val="Arial Narrow"/>
        <family val="2"/>
      </rPr>
      <t xml:space="preserve"> for design guidelines)</t>
    </r>
  </si>
  <si>
    <t>Rv</t>
  </si>
  <si>
    <t>Drawdown through orifice?</t>
  </si>
  <si>
    <t>Diameter of orifice (if circular)</t>
  </si>
  <si>
    <r>
      <t xml:space="preserve">Area of orifice (if-non-circular) </t>
    </r>
    <r>
      <rPr>
        <sz val="10"/>
        <rFont val="Arial Narrow"/>
        <family val="2"/>
      </rPr>
      <t>(Only fill out if non-circular orifice is used)</t>
    </r>
  </si>
  <si>
    <r>
      <t>in</t>
    </r>
    <r>
      <rPr>
        <vertAlign val="superscript"/>
        <sz val="13"/>
        <rFont val="Arial Narrow"/>
        <family val="2"/>
      </rPr>
      <t>2</t>
    </r>
  </si>
  <si>
    <r>
      <t>Coefficient of discharge (C</t>
    </r>
    <r>
      <rPr>
        <vertAlign val="subscript"/>
        <sz val="13"/>
        <rFont val="Arial Narrow"/>
        <family val="2"/>
      </rPr>
      <t>D</t>
    </r>
    <r>
      <rPr>
        <sz val="13"/>
        <rFont val="Arial Narrow"/>
        <family val="2"/>
      </rPr>
      <t xml:space="preserve">) </t>
    </r>
    <r>
      <rPr>
        <sz val="10"/>
        <rFont val="Arial Narrow"/>
        <family val="2"/>
      </rPr>
      <t>(Refer to reference table on next tab)</t>
    </r>
  </si>
  <si>
    <r>
      <t>Driving head (H</t>
    </r>
    <r>
      <rPr>
        <vertAlign val="subscript"/>
        <sz val="13"/>
        <rFont val="Arial Narrow"/>
        <family val="2"/>
      </rPr>
      <t>o</t>
    </r>
    <r>
      <rPr>
        <sz val="13"/>
        <rFont val="Arial Narrow"/>
        <family val="2"/>
      </rPr>
      <t>)</t>
    </r>
  </si>
  <si>
    <r>
      <t>Cross-sectional area of the circular orifice, A</t>
    </r>
    <r>
      <rPr>
        <vertAlign val="subscript"/>
        <sz val="13"/>
        <rFont val="Arial Narrow"/>
        <family val="2"/>
      </rPr>
      <t>o</t>
    </r>
  </si>
  <si>
    <r>
      <t>Q</t>
    </r>
    <r>
      <rPr>
        <vertAlign val="subscript"/>
        <sz val="13"/>
        <rFont val="Arial Narrow"/>
        <family val="2"/>
      </rPr>
      <t>orifice</t>
    </r>
  </si>
  <si>
    <t>Drawdown through weir?</t>
  </si>
  <si>
    <t>Weir type</t>
  </si>
  <si>
    <t xml:space="preserve">  If V-notch: Weir orientation</t>
  </si>
  <si>
    <t>degrees</t>
  </si>
  <si>
    <r>
      <t xml:space="preserve"> Coefficient of discharge (C</t>
    </r>
    <r>
      <rPr>
        <vertAlign val="subscript"/>
        <sz val="13"/>
        <rFont val="Arial Narrow"/>
        <family val="2"/>
      </rPr>
      <t>v</t>
    </r>
    <r>
      <rPr>
        <sz val="13"/>
        <rFont val="Arial Narrow"/>
        <family val="2"/>
      </rPr>
      <t>)</t>
    </r>
  </si>
  <si>
    <r>
      <t>Coefficient of discharge (C</t>
    </r>
    <r>
      <rPr>
        <vertAlign val="subscript"/>
        <sz val="13"/>
        <rFont val="Arial Narrow"/>
        <family val="2"/>
      </rPr>
      <t>w</t>
    </r>
    <r>
      <rPr>
        <sz val="13"/>
        <rFont val="Arial Narrow"/>
        <family val="2"/>
      </rPr>
      <t xml:space="preserve">) </t>
    </r>
    <r>
      <rPr>
        <sz val="10"/>
        <rFont val="Arial Narrow"/>
        <family val="2"/>
      </rPr>
      <t>(Non V-notch weirs)</t>
    </r>
  </si>
  <si>
    <t>Length of weir (L)</t>
  </si>
  <si>
    <t>Driving head (H)</t>
  </si>
  <si>
    <r>
      <t>Q</t>
    </r>
    <r>
      <rPr>
        <vertAlign val="subscript"/>
        <sz val="13"/>
        <rFont val="Arial Narrow"/>
        <family val="2"/>
      </rPr>
      <t>weir</t>
    </r>
  </si>
  <si>
    <t>Pre/Post peak flow control</t>
  </si>
  <si>
    <t>Storage volume discharge rate (through discharge orifice or weir)</t>
  </si>
  <si>
    <t>Storage volume drawdown time</t>
  </si>
  <si>
    <t>Sharp-crested</t>
  </si>
  <si>
    <t>Broad-crested</t>
  </si>
  <si>
    <t>V-notch</t>
  </si>
  <si>
    <t>Orifice Coefficients</t>
  </si>
  <si>
    <t>Entrance Condition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</si>
  <si>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D</t>
    </r>
  </si>
  <si>
    <t>Typical value</t>
  </si>
  <si>
    <t>Square-edged entrance</t>
  </si>
  <si>
    <t>Concrete pipe, grooved end</t>
  </si>
  <si>
    <t>Corrugated metal pipe, mitred to slope</t>
  </si>
  <si>
    <t>Corrugated metal pipe, projecting from fill</t>
  </si>
  <si>
    <t>Top of PPE is within 6" of SHWT, If yes:</t>
  </si>
  <si>
    <t>Wetland has liner with permeability &lt; 0.01 in/hr, If yes: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</si>
</sst>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"/>
    <numFmt numFmtId="166" formatCode="0.000"/>
    <numFmt numFmtId="167" formatCode="0.000000"/>
    <numFmt numFmtId="168" formatCode="mmmm\ d\,\ yyyy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3"/>
      <name val="Arial Narrow"/>
      <family val="2"/>
    </font>
    <font>
      <b/>
      <sz val="13"/>
      <name val="Arial Narrow"/>
      <family val="2"/>
    </font>
    <font>
      <vertAlign val="superscript"/>
      <sz val="13"/>
      <name val="Arial Narrow"/>
      <family val="2"/>
    </font>
    <font>
      <vertAlign val="subscript"/>
      <sz val="13"/>
      <name val="Arial Narrow"/>
      <family val="2"/>
    </font>
    <font>
      <b/>
      <sz val="18"/>
      <color indexed="18"/>
      <name val="Arial Narrow"/>
      <family val="2"/>
    </font>
    <font>
      <sz val="10"/>
      <name val="Arial Narrow"/>
      <family val="2"/>
    </font>
    <font>
      <sz val="13"/>
      <color indexed="10"/>
      <name val="Arial Narrow"/>
      <family val="2"/>
    </font>
    <font>
      <u/>
      <sz val="13"/>
      <name val="Arial Narrow"/>
      <family val="2"/>
    </font>
    <font>
      <sz val="10"/>
      <name val="Arial"/>
      <family val="2"/>
    </font>
    <font>
      <b/>
      <i/>
      <sz val="14"/>
      <color rgb="FFFF0000"/>
      <name val="Arial Narrow"/>
      <family val="2"/>
    </font>
    <font>
      <i/>
      <sz val="12"/>
      <name val="Arial Narrow"/>
      <family val="2"/>
    </font>
    <font>
      <sz val="12"/>
      <color rgb="FFFF0000"/>
      <name val="Arial Narrow"/>
      <family val="2"/>
    </font>
    <font>
      <b/>
      <sz val="15"/>
      <color rgb="FFFF0000"/>
      <name val="Arial Narrow"/>
      <family val="2"/>
    </font>
    <font>
      <sz val="13"/>
      <color rgb="FFFF0000"/>
      <name val="Arial Narrow"/>
      <family val="2"/>
    </font>
    <font>
      <i/>
      <sz val="10"/>
      <name val="Arial Narrow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67">
    <xf numFmtId="0" fontId="0" fillId="0" borderId="0" xfId="0"/>
    <xf numFmtId="0" fontId="2" fillId="0" borderId="0" xfId="1"/>
    <xf numFmtId="0" fontId="3" fillId="2" borderId="0" xfId="1" applyFont="1" applyFill="1"/>
    <xf numFmtId="0" fontId="7" fillId="0" borderId="0" xfId="1" applyFont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7" fillId="3" borderId="0" xfId="1" applyFont="1" applyFill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3" fillId="5" borderId="2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3" borderId="0" xfId="1" applyFont="1" applyFill="1" applyAlignment="1">
      <alignment horizontal="left" vertical="center" wrapText="1"/>
    </xf>
    <xf numFmtId="0" fontId="7" fillId="0" borderId="0" xfId="1" applyFont="1" applyAlignment="1">
      <alignment horizontal="left" vertical="center" wrapText="1" indent="1"/>
    </xf>
    <xf numFmtId="0" fontId="7" fillId="3" borderId="0" xfId="1" applyFont="1" applyFill="1" applyAlignment="1">
      <alignment horizontal="right" vertical="center" wrapText="1"/>
    </xf>
    <xf numFmtId="0" fontId="7" fillId="0" borderId="0" xfId="1" applyFont="1" applyAlignment="1">
      <alignment horizontal="left" vertical="center" wrapText="1" indent="2"/>
    </xf>
    <xf numFmtId="0" fontId="7" fillId="3" borderId="0" xfId="1" applyFont="1" applyFill="1" applyBorder="1" applyAlignment="1">
      <alignment horizontal="right" vertical="center" wrapText="1"/>
    </xf>
    <xf numFmtId="0" fontId="8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165" fontId="7" fillId="3" borderId="0" xfId="1" applyNumberFormat="1" applyFont="1" applyFill="1" applyAlignment="1">
      <alignment vertical="center" wrapText="1"/>
    </xf>
    <xf numFmtId="166" fontId="7" fillId="3" borderId="0" xfId="1" applyNumberFormat="1" applyFont="1" applyFill="1" applyAlignment="1">
      <alignment vertical="center" wrapText="1"/>
    </xf>
    <xf numFmtId="167" fontId="7" fillId="3" borderId="0" xfId="1" applyNumberFormat="1" applyFont="1" applyFill="1" applyAlignment="1">
      <alignment vertical="center" wrapText="1"/>
    </xf>
    <xf numFmtId="2" fontId="7" fillId="3" borderId="0" xfId="1" applyNumberFormat="1" applyFont="1" applyFill="1" applyBorder="1" applyAlignment="1">
      <alignment vertical="center" wrapText="1"/>
    </xf>
    <xf numFmtId="2" fontId="7" fillId="3" borderId="0" xfId="1" applyNumberFormat="1" applyFont="1" applyFill="1" applyAlignment="1">
      <alignment vertical="center" wrapText="1"/>
    </xf>
    <xf numFmtId="164" fontId="7" fillId="3" borderId="0" xfId="1" applyNumberFormat="1" applyFont="1" applyFill="1" applyBorder="1" applyAlignment="1">
      <alignment horizontal="right" vertical="center" wrapText="1"/>
    </xf>
    <xf numFmtId="3" fontId="7" fillId="3" borderId="0" xfId="1" applyNumberFormat="1" applyFont="1" applyFill="1" applyAlignment="1">
      <alignment vertical="center" wrapText="1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left" vertical="center" wrapText="1" indent="1"/>
    </xf>
    <xf numFmtId="0" fontId="7" fillId="0" borderId="0" xfId="1" applyFont="1" applyFill="1" applyAlignment="1">
      <alignment horizontal="left" vertical="center" wrapText="1" indent="1"/>
    </xf>
    <xf numFmtId="0" fontId="7" fillId="0" borderId="0" xfId="1" applyFont="1" applyFill="1" applyAlignment="1">
      <alignment horizontal="left" vertical="center" wrapText="1" indent="2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8" fillId="0" borderId="0" xfId="1" applyFont="1" applyAlignment="1">
      <alignment vertical="center"/>
    </xf>
    <xf numFmtId="0" fontId="0" fillId="0" borderId="0" xfId="0"/>
    <xf numFmtId="0" fontId="7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1" fillId="0" borderId="0" xfId="0" applyFont="1"/>
    <xf numFmtId="0" fontId="15" fillId="0" borderId="0" xfId="1" applyFont="1"/>
    <xf numFmtId="0" fontId="7" fillId="0" borderId="0" xfId="4" applyFont="1" applyAlignment="1">
      <alignment vertical="center" wrapText="1"/>
    </xf>
    <xf numFmtId="0" fontId="7" fillId="7" borderId="0" xfId="1" applyFont="1" applyFill="1" applyAlignment="1">
      <alignment vertical="center" wrapText="1"/>
    </xf>
    <xf numFmtId="0" fontId="0" fillId="7" borderId="0" xfId="0" applyFill="1"/>
    <xf numFmtId="0" fontId="20" fillId="2" borderId="4" xfId="1" applyFont="1" applyFill="1" applyBorder="1" applyAlignment="1" applyProtection="1">
      <alignment horizontal="left" vertical="center" wrapText="1"/>
      <protection locked="0"/>
    </xf>
    <xf numFmtId="0" fontId="18" fillId="5" borderId="3" xfId="1" applyFont="1" applyFill="1" applyBorder="1" applyAlignment="1">
      <alignment vertical="center" wrapText="1"/>
    </xf>
    <xf numFmtId="0" fontId="22" fillId="0" borderId="0" xfId="1" applyFont="1"/>
    <xf numFmtId="0" fontId="8" fillId="0" borderId="0" xfId="4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20" fillId="7" borderId="0" xfId="1" applyFont="1" applyFill="1" applyAlignment="1">
      <alignment vertical="center" wrapText="1"/>
    </xf>
    <xf numFmtId="0" fontId="20" fillId="0" borderId="0" xfId="1" applyFont="1" applyFill="1" applyAlignment="1">
      <alignment vertical="center" wrapText="1"/>
    </xf>
    <xf numFmtId="0" fontId="20" fillId="0" borderId="0" xfId="1" applyFont="1" applyAlignment="1">
      <alignment horizontal="left" vertical="center" wrapText="1"/>
    </xf>
    <xf numFmtId="164" fontId="7" fillId="0" borderId="4" xfId="1" applyNumberFormat="1" applyFont="1" applyBorder="1" applyAlignment="1">
      <alignment vertical="center" wrapText="1"/>
    </xf>
    <xf numFmtId="0" fontId="0" fillId="0" borderId="0" xfId="0"/>
    <xf numFmtId="0" fontId="12" fillId="6" borderId="0" xfId="4" applyFont="1" applyFill="1"/>
    <xf numFmtId="0" fontId="12" fillId="6" borderId="0" xfId="4" applyFont="1" applyFill="1" applyAlignment="1">
      <alignment horizontal="right"/>
    </xf>
    <xf numFmtId="0" fontId="3" fillId="6" borderId="0" xfId="4" applyFont="1" applyFill="1"/>
    <xf numFmtId="0" fontId="7" fillId="6" borderId="0" xfId="4" applyFont="1" applyFill="1" applyAlignment="1">
      <alignment horizontal="left" vertical="center" wrapText="1"/>
    </xf>
    <xf numFmtId="0" fontId="12" fillId="6" borderId="0" xfId="4" applyFont="1" applyFill="1" applyAlignment="1">
      <alignment horizontal="left" vertical="center" wrapText="1"/>
    </xf>
    <xf numFmtId="0" fontId="5" fillId="5" borderId="1" xfId="4" applyFont="1" applyFill="1" applyBorder="1" applyAlignment="1">
      <alignment wrapText="1"/>
    </xf>
    <xf numFmtId="0" fontId="5" fillId="6" borderId="0" xfId="4" applyFont="1" applyFill="1" applyAlignment="1">
      <alignment wrapText="1"/>
    </xf>
    <xf numFmtId="0" fontId="3" fillId="0" borderId="8" xfId="4" applyFont="1" applyBorder="1" applyAlignment="1">
      <alignment vertical="top"/>
    </xf>
    <xf numFmtId="0" fontId="3" fillId="0" borderId="8" xfId="4" applyFont="1" applyBorder="1" applyAlignment="1"/>
    <xf numFmtId="0" fontId="3" fillId="0" borderId="9" xfId="4" applyFont="1" applyBorder="1" applyAlignment="1"/>
    <xf numFmtId="0" fontId="3" fillId="0" borderId="9" xfId="4" applyFont="1" applyBorder="1" applyAlignment="1">
      <alignment vertical="top"/>
    </xf>
    <xf numFmtId="0" fontId="8" fillId="6" borderId="0" xfId="4" applyFont="1" applyFill="1" applyAlignment="1">
      <alignment horizontal="center" vertical="center"/>
    </xf>
    <xf numFmtId="4" fontId="3" fillId="2" borderId="7" xfId="4" applyNumberFormat="1" applyFont="1" applyFill="1" applyBorder="1" applyAlignment="1" applyProtection="1">
      <alignment horizontal="left" vertical="top" wrapText="1"/>
      <protection locked="0"/>
    </xf>
    <xf numFmtId="4" fontId="3" fillId="2" borderId="2" xfId="4" applyNumberFormat="1" applyFont="1" applyFill="1" applyBorder="1" applyAlignment="1" applyProtection="1">
      <alignment horizontal="left" vertical="top" wrapText="1"/>
      <protection locked="0"/>
    </xf>
    <xf numFmtId="4" fontId="2" fillId="0" borderId="0" xfId="1" applyNumberFormat="1"/>
    <xf numFmtId="4" fontId="3" fillId="5" borderId="2" xfId="1" applyNumberFormat="1" applyFont="1" applyFill="1" applyBorder="1" applyAlignment="1">
      <alignment horizontal="right" vertical="center" wrapText="1"/>
    </xf>
    <xf numFmtId="4" fontId="7" fillId="2" borderId="4" xfId="1" applyNumberFormat="1" applyFont="1" applyFill="1" applyBorder="1" applyAlignment="1" applyProtection="1">
      <alignment horizontal="left" vertical="center" wrapText="1"/>
      <protection locked="0"/>
    </xf>
    <xf numFmtId="4" fontId="7" fillId="0" borderId="0" xfId="1" applyNumberFormat="1" applyFont="1" applyAlignment="1">
      <alignment horizontal="right" vertical="center" wrapText="1"/>
    </xf>
    <xf numFmtId="4" fontId="7" fillId="2" borderId="4" xfId="1" applyNumberFormat="1" applyFont="1" applyFill="1" applyBorder="1" applyAlignment="1" applyProtection="1">
      <alignment horizontal="right" vertical="center" wrapText="1"/>
      <protection locked="0"/>
    </xf>
    <xf numFmtId="4" fontId="7" fillId="7" borderId="4" xfId="1" applyNumberFormat="1" applyFont="1" applyFill="1" applyBorder="1" applyAlignment="1" applyProtection="1">
      <alignment horizontal="right" vertical="center" wrapText="1"/>
      <protection locked="0"/>
    </xf>
    <xf numFmtId="4" fontId="7" fillId="7" borderId="4" xfId="1" applyNumberFormat="1" applyFont="1" applyFill="1" applyBorder="1" applyAlignment="1">
      <alignment horizontal="right" vertical="center" wrapText="1"/>
    </xf>
    <xf numFmtId="4" fontId="7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 wrapText="1"/>
    </xf>
    <xf numFmtId="4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1" applyNumberFormat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right" vertical="center" wrapText="1"/>
    </xf>
    <xf numFmtId="4" fontId="7" fillId="0" borderId="4" xfId="1" applyNumberFormat="1" applyFont="1" applyFill="1" applyBorder="1" applyAlignment="1" applyProtection="1">
      <alignment horizontal="center" vertical="center"/>
    </xf>
    <xf numFmtId="4" fontId="7" fillId="2" borderId="2" xfId="1" applyNumberFormat="1" applyFont="1" applyFill="1" applyBorder="1" applyAlignment="1" applyProtection="1">
      <alignment horizontal="center" vertical="center"/>
      <protection locked="0"/>
    </xf>
    <xf numFmtId="4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</xf>
    <xf numFmtId="4" fontId="7" fillId="0" borderId="2" xfId="1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>
      <alignment vertical="center" wrapText="1"/>
    </xf>
    <xf numFmtId="4" fontId="7" fillId="2" borderId="4" xfId="1" applyNumberFormat="1" applyFont="1" applyFill="1" applyBorder="1" applyAlignment="1" applyProtection="1">
      <alignment vertical="center" wrapText="1"/>
      <protection locked="0"/>
    </xf>
    <xf numFmtId="4" fontId="7" fillId="0" borderId="0" xfId="1" applyNumberFormat="1" applyFont="1" applyAlignment="1">
      <alignment vertical="center" wrapText="1"/>
    </xf>
    <xf numFmtId="4" fontId="7" fillId="0" borderId="4" xfId="1" applyNumberFormat="1" applyFont="1" applyFill="1" applyBorder="1" applyAlignment="1" applyProtection="1">
      <alignment vertical="center" wrapText="1"/>
    </xf>
    <xf numFmtId="4" fontId="7" fillId="2" borderId="2" xfId="1" applyNumberFormat="1" applyFont="1" applyFill="1" applyBorder="1" applyAlignment="1" applyProtection="1">
      <alignment vertical="center" wrapText="1"/>
      <protection locked="0"/>
    </xf>
    <xf numFmtId="4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4" xfId="1" applyNumberFormat="1" applyFont="1" applyFill="1" applyBorder="1" applyAlignment="1">
      <alignment vertical="center" wrapText="1"/>
    </xf>
    <xf numFmtId="4" fontId="7" fillId="0" borderId="2" xfId="1" applyNumberFormat="1" applyFont="1" applyFill="1" applyBorder="1" applyAlignment="1">
      <alignment vertical="center" wrapText="1"/>
    </xf>
    <xf numFmtId="4" fontId="7" fillId="0" borderId="4" xfId="1" applyNumberFormat="1" applyFont="1" applyBorder="1" applyAlignment="1">
      <alignment vertical="center" wrapText="1"/>
    </xf>
    <xf numFmtId="4" fontId="7" fillId="0" borderId="4" xfId="1" applyNumberFormat="1" applyFont="1" applyFill="1" applyBorder="1" applyAlignment="1">
      <alignment horizontal="right" vertical="center" wrapText="1"/>
    </xf>
    <xf numFmtId="4" fontId="7" fillId="0" borderId="5" xfId="1" applyNumberFormat="1" applyFont="1" applyFill="1" applyBorder="1" applyAlignment="1">
      <alignment horizontal="right" vertical="center" wrapText="1"/>
    </xf>
    <xf numFmtId="4" fontId="12" fillId="6" borderId="0" xfId="4" applyNumberFormat="1" applyFont="1" applyFill="1"/>
    <xf numFmtId="4" fontId="12" fillId="6" borderId="0" xfId="4" applyNumberFormat="1" applyFont="1" applyFill="1" applyAlignment="1">
      <alignment horizontal="left" vertical="center" wrapText="1"/>
    </xf>
    <xf numFmtId="4" fontId="0" fillId="0" borderId="0" xfId="0" applyNumberFormat="1"/>
    <xf numFmtId="2" fontId="7" fillId="0" borderId="4" xfId="4" applyNumberFormat="1" applyFont="1" applyFill="1" applyBorder="1" applyAlignment="1" applyProtection="1">
      <alignment horizontal="center" vertical="center"/>
    </xf>
    <xf numFmtId="0" fontId="7" fillId="0" borderId="0" xfId="4" applyFont="1" applyFill="1" applyAlignment="1">
      <alignment horizontal="left" vertical="center" indent="2"/>
    </xf>
    <xf numFmtId="0" fontId="7" fillId="0" borderId="0" xfId="4" applyFont="1" applyFill="1" applyAlignment="1">
      <alignment horizontal="center"/>
    </xf>
    <xf numFmtId="0" fontId="7" fillId="0" borderId="0" xfId="4" applyFont="1" applyAlignment="1">
      <alignment vertical="center"/>
    </xf>
    <xf numFmtId="0" fontId="7" fillId="0" borderId="0" xfId="4" applyFont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0" fontId="7" fillId="3" borderId="0" xfId="4" applyFont="1" applyFill="1" applyBorder="1" applyAlignment="1">
      <alignment vertical="center"/>
    </xf>
    <xf numFmtId="0" fontId="7" fillId="0" borderId="0" xfId="4" applyFont="1" applyAlignment="1">
      <alignment horizontal="left" vertical="center" indent="1"/>
    </xf>
    <xf numFmtId="0" fontId="7" fillId="3" borderId="0" xfId="4" applyFont="1" applyFill="1" applyAlignment="1">
      <alignment horizontal="center"/>
    </xf>
    <xf numFmtId="0" fontId="7" fillId="0" borderId="0" xfId="4" applyFont="1" applyFill="1" applyAlignment="1">
      <alignment vertical="center" wrapText="1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horizontal="left" vertical="center" wrapText="1" indent="1"/>
    </xf>
    <xf numFmtId="0" fontId="7" fillId="3" borderId="0" xfId="4" applyFont="1" applyFill="1" applyAlignment="1">
      <alignment horizontal="left" vertical="center" indent="2"/>
    </xf>
    <xf numFmtId="0" fontId="7" fillId="0" borderId="0" xfId="4" applyFont="1" applyBorder="1" applyAlignment="1">
      <alignment horizontal="left" vertical="center"/>
    </xf>
    <xf numFmtId="0" fontId="7" fillId="2" borderId="4" xfId="4" applyFont="1" applyFill="1" applyBorder="1" applyAlignment="1" applyProtection="1">
      <alignment horizontal="center" vertical="center"/>
      <protection locked="0"/>
    </xf>
    <xf numFmtId="2" fontId="7" fillId="2" borderId="4" xfId="4" applyNumberFormat="1" applyFont="1" applyFill="1" applyBorder="1" applyAlignment="1" applyProtection="1">
      <alignment horizontal="right" vertical="center" wrapText="1"/>
      <protection locked="0"/>
    </xf>
    <xf numFmtId="2" fontId="7" fillId="2" borderId="2" xfId="4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4" applyFont="1" applyAlignment="1">
      <alignment vertical="center" wrapText="1"/>
    </xf>
    <xf numFmtId="164" fontId="7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4" applyFont="1" applyAlignment="1">
      <alignment vertical="center" wrapText="1"/>
    </xf>
    <xf numFmtId="0" fontId="20" fillId="0" borderId="0" xfId="4" applyFont="1"/>
    <xf numFmtId="0" fontId="20" fillId="0" borderId="0" xfId="4" applyFont="1" applyFill="1"/>
    <xf numFmtId="0" fontId="20" fillId="3" borderId="0" xfId="4" applyFont="1" applyFill="1"/>
    <xf numFmtId="0" fontId="7" fillId="0" borderId="4" xfId="4" applyFont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/>
    <xf numFmtId="0" fontId="7" fillId="3" borderId="0" xfId="4" applyFont="1" applyFill="1" applyAlignment="1">
      <alignment horizontal="center"/>
    </xf>
    <xf numFmtId="0" fontId="23" fillId="0" borderId="0" xfId="0" applyFont="1"/>
    <xf numFmtId="2" fontId="0" fillId="0" borderId="0" xfId="0" applyNumberFormat="1"/>
    <xf numFmtId="166" fontId="7" fillId="0" borderId="0" xfId="4" applyNumberFormat="1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/>
    </xf>
    <xf numFmtId="166" fontId="7" fillId="3" borderId="0" xfId="4" applyNumberFormat="1" applyFont="1" applyFill="1" applyBorder="1" applyAlignment="1">
      <alignment horizontal="center" vertical="center"/>
    </xf>
    <xf numFmtId="0" fontId="0" fillId="0" borderId="0" xfId="0"/>
    <xf numFmtId="0" fontId="7" fillId="0" borderId="0" xfId="4" applyFont="1" applyFill="1" applyBorder="1" applyAlignment="1">
      <alignment vertical="center"/>
    </xf>
    <xf numFmtId="166" fontId="7" fillId="3" borderId="0" xfId="4" applyNumberFormat="1" applyFont="1" applyFill="1" applyBorder="1" applyAlignment="1">
      <alignment horizontal="center" vertical="center"/>
    </xf>
    <xf numFmtId="0" fontId="20" fillId="0" borderId="0" xfId="4" applyFont="1" applyFill="1"/>
    <xf numFmtId="0" fontId="20" fillId="0" borderId="0" xfId="4" applyFont="1" applyAlignment="1">
      <alignment horizontal="left" vertical="center"/>
    </xf>
    <xf numFmtId="0" fontId="20" fillId="0" borderId="0" xfId="4" applyFont="1" applyAlignment="1">
      <alignment vertical="top" wrapText="1"/>
    </xf>
    <xf numFmtId="4" fontId="7" fillId="0" borderId="2" xfId="4" applyNumberFormat="1" applyFont="1" applyFill="1" applyBorder="1" applyAlignment="1" applyProtection="1">
      <alignment horizontal="right" vertical="center"/>
    </xf>
    <xf numFmtId="4" fontId="7" fillId="0" borderId="2" xfId="4" applyNumberFormat="1" applyFont="1" applyFill="1" applyBorder="1" applyAlignment="1" applyProtection="1">
      <alignment vertical="center"/>
    </xf>
    <xf numFmtId="0" fontId="7" fillId="0" borderId="0" xfId="4" applyFont="1" applyFill="1" applyAlignment="1">
      <alignment vertical="center" wrapText="1"/>
    </xf>
    <xf numFmtId="0" fontId="7" fillId="0" borderId="0" xfId="4" applyFont="1" applyAlignment="1">
      <alignment horizontal="left" vertical="center" wrapText="1" indent="1"/>
    </xf>
    <xf numFmtId="4" fontId="7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4" applyFont="1" applyAlignment="1">
      <alignment vertical="top" wrapText="1"/>
    </xf>
    <xf numFmtId="0" fontId="8" fillId="6" borderId="0" xfId="4" applyFont="1" applyFill="1"/>
    <xf numFmtId="0" fontId="8" fillId="6" borderId="0" xfId="4" applyFont="1" applyFill="1" applyAlignment="1">
      <alignment horizontal="center" vertical="center"/>
    </xf>
    <xf numFmtId="4" fontId="3" fillId="2" borderId="6" xfId="4" applyNumberFormat="1" applyFont="1" applyFill="1" applyBorder="1" applyAlignment="1" applyProtection="1">
      <alignment horizontal="left" vertical="top" wrapText="1"/>
      <protection locked="0"/>
    </xf>
    <xf numFmtId="4" fontId="3" fillId="2" borderId="4" xfId="4" applyNumberFormat="1" applyFont="1" applyFill="1" applyBorder="1" applyAlignment="1" applyProtection="1">
      <alignment horizontal="left" vertical="top" wrapText="1"/>
      <protection locked="0"/>
    </xf>
    <xf numFmtId="4" fontId="3" fillId="2" borderId="7" xfId="4" applyNumberFormat="1" applyFont="1" applyFill="1" applyBorder="1" applyAlignment="1" applyProtection="1">
      <alignment horizontal="left" vertical="top" wrapText="1"/>
      <protection locked="0"/>
    </xf>
    <xf numFmtId="4" fontId="3" fillId="2" borderId="2" xfId="4" applyNumberFormat="1" applyFont="1" applyFill="1" applyBorder="1" applyAlignment="1" applyProtection="1">
      <alignment horizontal="left" vertical="top" wrapText="1"/>
      <protection locked="0"/>
    </xf>
    <xf numFmtId="0" fontId="7" fillId="6" borderId="0" xfId="4" applyFont="1" applyFill="1" applyAlignment="1">
      <alignment horizontal="center" vertical="center" wrapText="1"/>
    </xf>
    <xf numFmtId="0" fontId="19" fillId="0" borderId="0" xfId="4" applyFont="1" applyBorder="1" applyAlignment="1">
      <alignment horizontal="left" vertical="center" wrapText="1"/>
    </xf>
    <xf numFmtId="0" fontId="12" fillId="5" borderId="2" xfId="4" applyFont="1" applyFill="1" applyBorder="1" applyAlignment="1">
      <alignment horizontal="center"/>
    </xf>
    <xf numFmtId="0" fontId="8" fillId="5" borderId="1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center"/>
    </xf>
    <xf numFmtId="0" fontId="11" fillId="4" borderId="0" xfId="1" applyFont="1" applyFill="1" applyAlignment="1">
      <alignment horizontal="center" vertical="center"/>
    </xf>
    <xf numFmtId="0" fontId="16" fillId="4" borderId="0" xfId="4" applyFont="1" applyFill="1" applyAlignment="1">
      <alignment horizontal="center"/>
    </xf>
    <xf numFmtId="0" fontId="4" fillId="4" borderId="0" xfId="1" applyFont="1" applyFill="1" applyAlignment="1">
      <alignment horizontal="center" vertical="center" wrapText="1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168" fontId="7" fillId="2" borderId="2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>
      <alignment horizontal="center"/>
    </xf>
  </cellXfs>
  <cellStyles count="8">
    <cellStyle name="Normal" xfId="0" builtinId="0"/>
    <cellStyle name="Normal 2" xfId="1"/>
    <cellStyle name="Normal 2 2" xfId="4"/>
    <cellStyle name="Normal 2 3" xfId="3"/>
    <cellStyle name="Normal 2 4" xfId="6"/>
    <cellStyle name="Normal 2 4 2" xfId="7"/>
    <cellStyle name="Normal 3" xfId="2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tabSelected="1" topLeftCell="A29" workbookViewId="0">
      <selection activeCell="B54" sqref="B54"/>
    </sheetView>
  </sheetViews>
  <sheetFormatPr defaultRowHeight="15" x14ac:dyDescent="0.25"/>
  <cols>
    <col min="1" max="1" width="73" customWidth="1"/>
    <col min="2" max="2" width="19.85546875" style="101" customWidth="1"/>
    <col min="3" max="3" width="16.7109375" customWidth="1"/>
    <col min="4" max="4" width="9.140625" hidden="1" customWidth="1"/>
    <col min="5" max="5" width="43.85546875" style="42" customWidth="1"/>
    <col min="7" max="7" width="9.140625" hidden="1" customWidth="1"/>
    <col min="8" max="8" width="9.140625" customWidth="1"/>
  </cols>
  <sheetData>
    <row r="1" spans="1:8" ht="15.75" x14ac:dyDescent="0.25">
      <c r="A1" s="2" t="s">
        <v>0</v>
      </c>
      <c r="B1" s="71"/>
      <c r="C1" s="1"/>
      <c r="D1" s="1"/>
      <c r="E1" s="49"/>
      <c r="F1" s="1"/>
      <c r="G1" s="1"/>
      <c r="H1" s="1"/>
    </row>
    <row r="2" spans="1:8" ht="18" x14ac:dyDescent="0.25">
      <c r="A2" s="159" t="s">
        <v>1</v>
      </c>
      <c r="B2" s="159"/>
      <c r="C2" s="159"/>
      <c r="D2" s="159"/>
      <c r="E2" s="159"/>
      <c r="F2" s="1"/>
      <c r="G2" s="1"/>
      <c r="H2" s="1"/>
    </row>
    <row r="3" spans="1:8" ht="23.25" x14ac:dyDescent="0.25">
      <c r="A3" s="160" t="s">
        <v>109</v>
      </c>
      <c r="B3" s="160"/>
      <c r="C3" s="160"/>
      <c r="D3" s="160"/>
      <c r="E3" s="160"/>
      <c r="F3" s="1"/>
      <c r="G3" s="1"/>
      <c r="H3" s="1"/>
    </row>
    <row r="4" spans="1:8" ht="18" x14ac:dyDescent="0.25">
      <c r="A4" s="161" t="s">
        <v>108</v>
      </c>
      <c r="B4" s="161"/>
      <c r="C4" s="161"/>
      <c r="D4" s="161"/>
      <c r="E4" s="161"/>
      <c r="F4" s="1"/>
      <c r="G4" s="43" t="s">
        <v>87</v>
      </c>
      <c r="H4" s="1"/>
    </row>
    <row r="5" spans="1:8" ht="18" x14ac:dyDescent="0.25">
      <c r="A5" s="162"/>
      <c r="B5" s="162"/>
      <c r="C5" s="162"/>
      <c r="D5" s="162"/>
      <c r="E5" s="162"/>
      <c r="F5" s="1"/>
      <c r="G5" s="43" t="s">
        <v>88</v>
      </c>
      <c r="H5" s="1"/>
    </row>
    <row r="6" spans="1:8" ht="18" x14ac:dyDescent="0.25">
      <c r="A6" s="6" t="s">
        <v>2</v>
      </c>
      <c r="B6" s="72"/>
      <c r="C6" s="7"/>
      <c r="D6" s="8"/>
      <c r="E6" s="48"/>
      <c r="F6" s="1"/>
      <c r="G6" s="1"/>
      <c r="H6" s="1"/>
    </row>
    <row r="7" spans="1:8" ht="17.25" x14ac:dyDescent="0.25">
      <c r="A7" s="3" t="s">
        <v>3</v>
      </c>
      <c r="B7" s="163"/>
      <c r="C7" s="163"/>
      <c r="D7" s="163"/>
      <c r="E7" s="163"/>
      <c r="F7" s="9"/>
      <c r="G7" s="9"/>
      <c r="H7" s="9"/>
    </row>
    <row r="8" spans="1:8" ht="17.25" x14ac:dyDescent="0.25">
      <c r="A8" s="3" t="s">
        <v>4</v>
      </c>
      <c r="B8" s="163"/>
      <c r="C8" s="163"/>
      <c r="D8" s="163"/>
      <c r="E8" s="163"/>
      <c r="F8" s="9"/>
      <c r="G8" s="9"/>
      <c r="H8" s="9"/>
    </row>
    <row r="9" spans="1:8" ht="17.25" x14ac:dyDescent="0.25">
      <c r="A9" s="3" t="s">
        <v>5</v>
      </c>
      <c r="B9" s="73"/>
      <c r="C9" s="28"/>
      <c r="D9" s="28"/>
      <c r="E9" s="47"/>
      <c r="F9" s="9"/>
      <c r="G9" s="9"/>
      <c r="H9" s="9"/>
    </row>
    <row r="10" spans="1:8" ht="17.25" x14ac:dyDescent="0.25">
      <c r="A10" s="3" t="s">
        <v>6</v>
      </c>
      <c r="B10" s="165"/>
      <c r="C10" s="165"/>
      <c r="D10" s="165"/>
      <c r="E10" s="165"/>
      <c r="F10" s="9"/>
      <c r="G10" s="9"/>
      <c r="H10" s="9"/>
    </row>
    <row r="11" spans="1:8" ht="17.25" x14ac:dyDescent="0.25">
      <c r="A11" s="34" t="s">
        <v>80</v>
      </c>
      <c r="B11" s="164"/>
      <c r="C11" s="164"/>
      <c r="D11" s="164"/>
      <c r="E11" s="164"/>
      <c r="F11" s="9"/>
      <c r="G11" s="9"/>
      <c r="H11" s="9"/>
    </row>
    <row r="12" spans="1:8" ht="17.25" x14ac:dyDescent="0.25">
      <c r="A12" s="3"/>
      <c r="B12" s="74"/>
      <c r="C12" s="4"/>
      <c r="D12" s="5"/>
      <c r="E12" s="51"/>
      <c r="F12" s="9"/>
      <c r="G12" s="9"/>
      <c r="H12" s="9"/>
    </row>
    <row r="13" spans="1:8" ht="17.25" x14ac:dyDescent="0.25">
      <c r="A13" s="156" t="s">
        <v>7</v>
      </c>
      <c r="B13" s="157"/>
      <c r="C13" s="157"/>
      <c r="D13" s="157"/>
      <c r="E13" s="158"/>
      <c r="F13" s="9"/>
      <c r="G13" s="9"/>
      <c r="H13" s="9"/>
    </row>
    <row r="14" spans="1:8" ht="17.25" x14ac:dyDescent="0.25">
      <c r="A14" s="10" t="s">
        <v>8</v>
      </c>
      <c r="B14" s="74"/>
      <c r="C14" s="4"/>
      <c r="D14" s="5"/>
      <c r="E14" s="51"/>
      <c r="F14" s="3"/>
      <c r="G14" s="3"/>
      <c r="H14" s="3"/>
    </row>
    <row r="15" spans="1:8" ht="19.5" x14ac:dyDescent="0.25">
      <c r="A15" s="35" t="s">
        <v>81</v>
      </c>
      <c r="B15" s="75"/>
      <c r="C15" s="4" t="s">
        <v>10</v>
      </c>
      <c r="D15" s="5"/>
      <c r="E15" s="51"/>
      <c r="F15" s="3"/>
      <c r="G15" s="3"/>
      <c r="H15" s="3"/>
    </row>
    <row r="16" spans="1:8" s="46" customFormat="1" ht="17.25" hidden="1" x14ac:dyDescent="0.25">
      <c r="A16" s="45" t="s">
        <v>9</v>
      </c>
      <c r="B16" s="76">
        <f>B15/43560</f>
        <v>0</v>
      </c>
      <c r="C16" s="45" t="s">
        <v>11</v>
      </c>
      <c r="D16" s="45"/>
      <c r="E16" s="52"/>
      <c r="F16" s="45"/>
      <c r="G16" s="45"/>
      <c r="H16" s="45"/>
    </row>
    <row r="17" spans="1:8" ht="19.5" x14ac:dyDescent="0.25">
      <c r="A17" s="36" t="s">
        <v>82</v>
      </c>
      <c r="B17" s="75"/>
      <c r="C17" s="4" t="s">
        <v>10</v>
      </c>
      <c r="D17" s="5"/>
      <c r="E17" s="51"/>
      <c r="F17" s="3"/>
      <c r="G17" s="3"/>
      <c r="H17" s="3"/>
    </row>
    <row r="18" spans="1:8" s="46" customFormat="1" ht="17.25" hidden="1" x14ac:dyDescent="0.25">
      <c r="A18" s="45" t="s">
        <v>12</v>
      </c>
      <c r="B18" s="77">
        <f>B17/43560</f>
        <v>0</v>
      </c>
      <c r="C18" s="45" t="s">
        <v>11</v>
      </c>
      <c r="D18" s="45"/>
      <c r="E18" s="52"/>
      <c r="F18" s="45"/>
      <c r="G18" s="45"/>
      <c r="H18" s="45"/>
    </row>
    <row r="19" spans="1:8" ht="17.25" x14ac:dyDescent="0.25">
      <c r="A19" s="3" t="s">
        <v>13</v>
      </c>
      <c r="B19" s="78" t="str">
        <f>IF(B17="","",(B17/B15)*100)</f>
        <v/>
      </c>
      <c r="C19" s="4" t="s">
        <v>15</v>
      </c>
      <c r="D19" s="5"/>
      <c r="E19" s="51"/>
      <c r="F19" s="3"/>
      <c r="G19" s="3"/>
      <c r="H19" s="3"/>
    </row>
    <row r="20" spans="1:8" s="39" customFormat="1" ht="17.25" x14ac:dyDescent="0.25">
      <c r="A20" s="44" t="s">
        <v>86</v>
      </c>
      <c r="B20" s="75"/>
      <c r="C20" s="4"/>
      <c r="D20" s="5"/>
      <c r="E20" s="51"/>
      <c r="F20" s="37"/>
      <c r="G20" s="37"/>
      <c r="H20" s="37"/>
    </row>
    <row r="21" spans="1:8" ht="17.25" hidden="1" x14ac:dyDescent="0.25">
      <c r="A21" s="3" t="s">
        <v>111</v>
      </c>
      <c r="B21" s="79" t="e">
        <f>0.05+0.9*(B18/B16)</f>
        <v>#DIV/0!</v>
      </c>
      <c r="C21" s="4"/>
      <c r="D21" s="5"/>
      <c r="E21" s="51"/>
      <c r="F21" s="3"/>
      <c r="G21" s="3"/>
      <c r="H21" s="3"/>
    </row>
    <row r="22" spans="1:8" s="56" customFormat="1" ht="17.25" x14ac:dyDescent="0.25">
      <c r="A22" s="37"/>
      <c r="B22" s="79"/>
      <c r="C22" s="4"/>
      <c r="D22" s="5"/>
      <c r="E22" s="51"/>
      <c r="F22" s="37"/>
      <c r="G22" s="37"/>
      <c r="H22" s="37"/>
    </row>
    <row r="23" spans="1:8" ht="17.25" x14ac:dyDescent="0.25">
      <c r="A23" s="10" t="s">
        <v>16</v>
      </c>
      <c r="B23" s="79"/>
      <c r="C23" s="4"/>
      <c r="D23" s="5"/>
      <c r="E23" s="51"/>
      <c r="F23" s="3"/>
      <c r="G23" s="3"/>
      <c r="H23" s="3"/>
    </row>
    <row r="24" spans="1:8" ht="19.5" x14ac:dyDescent="0.25">
      <c r="A24" s="40" t="s">
        <v>83</v>
      </c>
      <c r="B24" s="80"/>
      <c r="C24" s="12" t="s">
        <v>18</v>
      </c>
      <c r="D24" s="5"/>
      <c r="E24" s="51"/>
      <c r="F24" s="3"/>
      <c r="G24" s="3"/>
      <c r="H24" s="3"/>
    </row>
    <row r="25" spans="1:8" ht="19.5" x14ac:dyDescent="0.25">
      <c r="A25" s="40" t="s">
        <v>84</v>
      </c>
      <c r="B25" s="80"/>
      <c r="C25" s="12" t="s">
        <v>18</v>
      </c>
      <c r="D25" s="5"/>
      <c r="E25" s="51"/>
    </row>
    <row r="26" spans="1:8" ht="19.5" x14ac:dyDescent="0.25">
      <c r="A26" s="41" t="s">
        <v>85</v>
      </c>
      <c r="B26" s="81" t="str">
        <f>IF(B25="","",(B25-B24))</f>
        <v/>
      </c>
      <c r="C26" s="12" t="s">
        <v>18</v>
      </c>
      <c r="D26" s="5"/>
      <c r="E26" s="51" t="str">
        <f>IF(B26="","","Please provide routing calculations")</f>
        <v/>
      </c>
    </row>
    <row r="27" spans="1:8" ht="17.25" x14ac:dyDescent="0.25">
      <c r="A27" s="15"/>
      <c r="B27" s="82"/>
      <c r="C27" s="4"/>
      <c r="D27" s="16"/>
      <c r="E27" s="51"/>
    </row>
    <row r="28" spans="1:8" ht="19.5" x14ac:dyDescent="0.25">
      <c r="A28" s="50" t="s">
        <v>89</v>
      </c>
      <c r="B28" s="154"/>
      <c r="C28" s="154"/>
      <c r="D28" s="154"/>
      <c r="E28" s="154"/>
    </row>
    <row r="29" spans="1:8" ht="19.5" x14ac:dyDescent="0.25">
      <c r="A29" s="13" t="s">
        <v>21</v>
      </c>
      <c r="B29" s="83" t="str">
        <f>IF(B15="","",3630*1.5*B21*B16)</f>
        <v/>
      </c>
      <c r="C29" s="13" t="s">
        <v>20</v>
      </c>
      <c r="D29" s="29"/>
      <c r="E29" s="38"/>
    </row>
    <row r="30" spans="1:8" ht="30" x14ac:dyDescent="0.25">
      <c r="A30" s="37" t="s">
        <v>110</v>
      </c>
      <c r="B30" s="84"/>
      <c r="C30" s="13" t="s">
        <v>20</v>
      </c>
      <c r="D30" s="16"/>
      <c r="E30" s="51" t="str">
        <f>IF(B30="","",IF(B30&lt;B29,"Additional volume needed","OK"))</f>
        <v/>
      </c>
    </row>
    <row r="31" spans="1:8" ht="17.25" x14ac:dyDescent="0.25">
      <c r="A31" s="15"/>
      <c r="B31" s="82"/>
      <c r="C31" s="4"/>
      <c r="D31" s="16"/>
      <c r="E31" s="51"/>
    </row>
    <row r="32" spans="1:8" ht="17.25" x14ac:dyDescent="0.25">
      <c r="A32" s="19" t="s">
        <v>22</v>
      </c>
      <c r="B32" s="82"/>
      <c r="C32" s="4"/>
      <c r="D32" s="16"/>
      <c r="E32" s="51"/>
    </row>
    <row r="33" spans="1:7" s="135" customFormat="1" ht="18.75" x14ac:dyDescent="0.25">
      <c r="A33" s="144" t="s">
        <v>24</v>
      </c>
      <c r="B33" s="145"/>
      <c r="C33" s="143" t="s">
        <v>17</v>
      </c>
      <c r="D33" s="16"/>
      <c r="E33" s="51" t="str">
        <f>IF(B33="","",IF(B33&gt;12,"Maximum depth = 12 in","OK"))</f>
        <v/>
      </c>
    </row>
    <row r="34" spans="1:7" s="56" customFormat="1" ht="17.25" x14ac:dyDescent="0.3">
      <c r="A34" s="105" t="s">
        <v>112</v>
      </c>
      <c r="B34" s="121"/>
      <c r="C34" s="106"/>
      <c r="D34" s="129">
        <f>IF(B34="Yes",1,0)</f>
        <v>0</v>
      </c>
      <c r="E34" s="123" t="s">
        <v>14</v>
      </c>
    </row>
    <row r="35" spans="1:7" s="56" customFormat="1" ht="17.25" x14ac:dyDescent="0.3">
      <c r="A35" s="114" t="s">
        <v>113</v>
      </c>
      <c r="B35" s="118"/>
      <c r="C35" s="112" t="s">
        <v>17</v>
      </c>
      <c r="D35" s="129">
        <f>IF(B35="",0,B35/12)</f>
        <v>0</v>
      </c>
      <c r="E35" s="140" t="str">
        <f>IF($B$34="","",IF($B$34="No","Do not fill out this section",""))</f>
        <v/>
      </c>
    </row>
    <row r="36" spans="1:7" s="56" customFormat="1" ht="19.5" x14ac:dyDescent="0.3">
      <c r="A36" s="114" t="s">
        <v>114</v>
      </c>
      <c r="B36" s="118"/>
      <c r="C36" s="112" t="s">
        <v>115</v>
      </c>
      <c r="D36" s="129">
        <f>IF(B36="",0,B36/12)</f>
        <v>0</v>
      </c>
      <c r="E36" s="140" t="str">
        <f t="shared" ref="E36:E38" si="0">IF($B$34="","",IF($B$34="No","Do not fill out this section",""))</f>
        <v/>
      </c>
    </row>
    <row r="37" spans="1:7" s="56" customFormat="1" ht="18.75" x14ac:dyDescent="0.3">
      <c r="A37" s="114" t="s">
        <v>116</v>
      </c>
      <c r="B37" s="118"/>
      <c r="C37" s="112" t="s">
        <v>26</v>
      </c>
      <c r="D37" s="111"/>
      <c r="E37" s="140" t="str">
        <f t="shared" si="0"/>
        <v/>
      </c>
    </row>
    <row r="38" spans="1:7" s="56" customFormat="1" ht="18.75" x14ac:dyDescent="0.3">
      <c r="A38" s="114" t="s">
        <v>117</v>
      </c>
      <c r="B38" s="119"/>
      <c r="C38" s="112" t="s">
        <v>27</v>
      </c>
      <c r="D38" s="111"/>
      <c r="E38" s="140" t="str">
        <f t="shared" si="0"/>
        <v/>
      </c>
    </row>
    <row r="39" spans="1:7" s="56" customFormat="1" ht="19.5" hidden="1" x14ac:dyDescent="0.3">
      <c r="A39" s="115" t="s">
        <v>118</v>
      </c>
      <c r="B39" s="134">
        <f>PI()*(D35/2)^2</f>
        <v>0</v>
      </c>
      <c r="C39" s="109" t="s">
        <v>10</v>
      </c>
      <c r="D39" s="111"/>
      <c r="E39" s="125"/>
    </row>
    <row r="40" spans="1:7" s="56" customFormat="1" ht="18.75" hidden="1" x14ac:dyDescent="0.3">
      <c r="A40" s="115" t="s">
        <v>119</v>
      </c>
      <c r="B40" s="134">
        <f>IF(D36=0,B37*B39*SQRT(2*32.2*B38),B37*D36*SQRT(2*32.2*B38))</f>
        <v>0</v>
      </c>
      <c r="C40" s="109"/>
      <c r="D40" s="111"/>
      <c r="E40" s="125"/>
    </row>
    <row r="41" spans="1:7" s="127" customFormat="1" ht="17.25" x14ac:dyDescent="0.3">
      <c r="A41" s="103"/>
      <c r="B41" s="132"/>
      <c r="C41" s="136"/>
      <c r="D41" s="104"/>
      <c r="E41" s="138"/>
    </row>
    <row r="42" spans="1:7" s="56" customFormat="1" ht="17.25" x14ac:dyDescent="0.3">
      <c r="A42" s="105" t="s">
        <v>120</v>
      </c>
      <c r="B42" s="121"/>
      <c r="C42" s="106"/>
      <c r="D42" s="133">
        <f>IF(B42="Yes",1,0)</f>
        <v>0</v>
      </c>
      <c r="E42" s="123" t="s">
        <v>14</v>
      </c>
    </row>
    <row r="43" spans="1:7" s="56" customFormat="1" ht="17.25" x14ac:dyDescent="0.3">
      <c r="A43" s="110" t="s">
        <v>121</v>
      </c>
      <c r="B43" s="117"/>
      <c r="C43" s="106"/>
      <c r="D43" s="133">
        <f>IF(B43="",0,IF(B43="Sharp-crested",3.33,IF(B43="Broad-crested",3,D44)))</f>
        <v>0</v>
      </c>
      <c r="E43" s="140" t="str">
        <f>IF($B$42="","",IF($B$42="No","Do not fill out this section",""))</f>
        <v/>
      </c>
      <c r="G43" s="56" t="s">
        <v>132</v>
      </c>
    </row>
    <row r="44" spans="1:7" s="56" customFormat="1" ht="17.25" x14ac:dyDescent="0.3">
      <c r="A44" s="110" t="s">
        <v>122</v>
      </c>
      <c r="B44" s="117"/>
      <c r="C44" s="106" t="s">
        <v>123</v>
      </c>
      <c r="D44" s="133">
        <f>IF(B44="",0,IF(B44=90,2.5,IF(B44=60,1.44,1.03)))</f>
        <v>0</v>
      </c>
      <c r="E44" s="140" t="str">
        <f t="shared" ref="E44:E48" si="1">IF($B$42="","",IF($B$42="No","Do not fill out this section",""))</f>
        <v/>
      </c>
      <c r="G44" s="56" t="s">
        <v>133</v>
      </c>
    </row>
    <row r="45" spans="1:7" s="56" customFormat="1" ht="18.75" x14ac:dyDescent="0.3">
      <c r="A45" s="110" t="s">
        <v>124</v>
      </c>
      <c r="B45" s="126" t="str">
        <f>IF(B44="","",D44)</f>
        <v/>
      </c>
      <c r="C45" s="106" t="s">
        <v>26</v>
      </c>
      <c r="D45" s="111"/>
      <c r="E45" s="140" t="str">
        <f t="shared" si="1"/>
        <v/>
      </c>
      <c r="G45" s="56" t="s">
        <v>134</v>
      </c>
    </row>
    <row r="46" spans="1:7" s="56" customFormat="1" ht="18.75" x14ac:dyDescent="0.3">
      <c r="A46" s="110" t="s">
        <v>125</v>
      </c>
      <c r="B46" s="102" t="str">
        <f>IF(B43="","",IF(B43="Sharp-crested",3.33,3))</f>
        <v/>
      </c>
      <c r="C46" s="106"/>
      <c r="D46" s="111"/>
      <c r="E46" s="140" t="str">
        <f t="shared" si="1"/>
        <v/>
      </c>
    </row>
    <row r="47" spans="1:7" s="56" customFormat="1" ht="17.25" x14ac:dyDescent="0.3">
      <c r="A47" s="110" t="s">
        <v>126</v>
      </c>
      <c r="B47" s="117"/>
      <c r="C47" s="106" t="s">
        <v>27</v>
      </c>
      <c r="D47" s="111"/>
      <c r="E47" s="140" t="str">
        <f t="shared" si="1"/>
        <v/>
      </c>
      <c r="G47" s="135">
        <v>90</v>
      </c>
    </row>
    <row r="48" spans="1:7" s="56" customFormat="1" ht="17.25" x14ac:dyDescent="0.3">
      <c r="A48" s="110" t="s">
        <v>127</v>
      </c>
      <c r="B48" s="117"/>
      <c r="C48" s="106" t="s">
        <v>27</v>
      </c>
      <c r="D48" s="111"/>
      <c r="E48" s="140" t="str">
        <f t="shared" si="1"/>
        <v/>
      </c>
      <c r="G48" s="135">
        <v>60</v>
      </c>
    </row>
    <row r="49" spans="1:7" s="56" customFormat="1" ht="18.75" hidden="1" x14ac:dyDescent="0.3">
      <c r="A49" s="115" t="s">
        <v>128</v>
      </c>
      <c r="B49" s="137" t="e">
        <f>IF(B43="V-notch",B45*(B48)^(5/2),B46*B47*(B48)^1.5)</f>
        <v>#VALUE!</v>
      </c>
      <c r="C49" s="109"/>
      <c r="D49" s="111"/>
      <c r="E49" s="125"/>
      <c r="G49" s="135">
        <v>45</v>
      </c>
    </row>
    <row r="50" spans="1:7" s="56" customFormat="1" ht="19.5" x14ac:dyDescent="0.3">
      <c r="A50" s="120" t="s">
        <v>83</v>
      </c>
      <c r="B50" s="141" t="str">
        <f>IF(B24="","",B24)</f>
        <v/>
      </c>
      <c r="C50" s="108" t="s">
        <v>18</v>
      </c>
      <c r="D50" s="111"/>
      <c r="E50" s="124"/>
    </row>
    <row r="51" spans="1:7" s="56" customFormat="1" ht="19.5" x14ac:dyDescent="0.3">
      <c r="A51" s="120" t="s">
        <v>84</v>
      </c>
      <c r="B51" s="141" t="str">
        <f>IF(B25="","",B25)</f>
        <v/>
      </c>
      <c r="C51" s="107" t="s">
        <v>18</v>
      </c>
      <c r="D51" s="111"/>
      <c r="E51" s="124"/>
    </row>
    <row r="52" spans="1:7" ht="19.5" x14ac:dyDescent="0.3">
      <c r="A52" s="105" t="s">
        <v>129</v>
      </c>
      <c r="B52" s="141" t="str">
        <f>IF(B26="","",B26)</f>
        <v/>
      </c>
      <c r="C52" s="106" t="s">
        <v>18</v>
      </c>
      <c r="D52" s="111"/>
      <c r="E52" s="124"/>
    </row>
    <row r="53" spans="1:7" ht="35.25" customHeight="1" x14ac:dyDescent="0.3">
      <c r="A53" s="113" t="s">
        <v>130</v>
      </c>
      <c r="B53" s="141" t="str">
        <f>IF(D34=1,B40,IF(D42=1,B49,""))</f>
        <v/>
      </c>
      <c r="C53" s="105" t="s">
        <v>18</v>
      </c>
      <c r="D53" s="111"/>
      <c r="E53" s="122" t="s">
        <v>14</v>
      </c>
    </row>
    <row r="54" spans="1:7" ht="17.25" x14ac:dyDescent="0.3">
      <c r="A54" s="105" t="s">
        <v>131</v>
      </c>
      <c r="B54" s="142" t="str">
        <f>IF(B53="","",(B30/(B53*3600)))</f>
        <v/>
      </c>
      <c r="C54" s="116" t="s">
        <v>25</v>
      </c>
      <c r="D54" s="111"/>
      <c r="E54" s="139" t="str">
        <f>IF(B54="","",IF(B54&lt;2,"Minimum 2 days required",IF(B54&gt;5,"Maximum 5 days required","OK")))</f>
        <v/>
      </c>
    </row>
    <row r="55" spans="1:7" ht="17.25" x14ac:dyDescent="0.25">
      <c r="A55" s="15"/>
      <c r="B55" s="82"/>
      <c r="C55" s="4"/>
      <c r="D55" s="16"/>
      <c r="E55" s="51"/>
    </row>
    <row r="56" spans="1:7" ht="17.25" x14ac:dyDescent="0.25">
      <c r="A56" s="19" t="s">
        <v>28</v>
      </c>
      <c r="B56" s="82"/>
      <c r="C56" s="4"/>
      <c r="D56" s="16"/>
      <c r="E56" s="51"/>
    </row>
    <row r="57" spans="1:7" ht="19.5" x14ac:dyDescent="0.25">
      <c r="A57" s="20" t="s">
        <v>29</v>
      </c>
      <c r="B57" s="86" t="str">
        <f>IF(B52="","",B30/(B52/12))</f>
        <v/>
      </c>
      <c r="C57" s="4" t="s">
        <v>10</v>
      </c>
      <c r="D57" s="16"/>
      <c r="E57" s="51" t="s">
        <v>14</v>
      </c>
    </row>
    <row r="58" spans="1:7" ht="19.5" x14ac:dyDescent="0.25">
      <c r="A58" s="20" t="s">
        <v>30</v>
      </c>
      <c r="B58" s="85"/>
      <c r="C58" s="4" t="s">
        <v>10</v>
      </c>
      <c r="D58" s="21"/>
      <c r="E58" s="51" t="s">
        <v>14</v>
      </c>
    </row>
    <row r="59" spans="1:7" ht="41.25" customHeight="1" x14ac:dyDescent="0.25">
      <c r="A59" s="15" t="s">
        <v>31</v>
      </c>
      <c r="B59" s="87" t="str">
        <f>IF(B58="","",B58/$B$57*100)</f>
        <v/>
      </c>
      <c r="C59" s="4" t="s">
        <v>15</v>
      </c>
      <c r="D59" s="22"/>
      <c r="E59" s="51" t="str">
        <f>IF(B58="","",IF(B59&lt;30,"Shallow land should comprise 30 - 40% of wetland surface area",IF(B59&gt;40,"Shallow land should comprise 30 - 40% of wetland surface area","OK")))</f>
        <v/>
      </c>
    </row>
    <row r="60" spans="1:7" ht="19.5" x14ac:dyDescent="0.25">
      <c r="A60" s="20" t="s">
        <v>32</v>
      </c>
      <c r="B60" s="75"/>
      <c r="C60" s="4" t="s">
        <v>10</v>
      </c>
      <c r="D60" s="16"/>
      <c r="E60" s="51" t="s">
        <v>14</v>
      </c>
    </row>
    <row r="61" spans="1:7" ht="42" customHeight="1" x14ac:dyDescent="0.25">
      <c r="A61" s="15" t="s">
        <v>33</v>
      </c>
      <c r="B61" s="87" t="str">
        <f>IF(B60="","",B60/$B$57*100)</f>
        <v/>
      </c>
      <c r="C61" s="4" t="s">
        <v>15</v>
      </c>
      <c r="D61" s="16"/>
      <c r="E61" s="51" t="str">
        <f>IF(B60="","",IF(B61&lt;38,"Shallow water should comprise approximately 40% of wetland surface area",IF(B61&gt;42,"Shallow water should comprise approximately 40% of wetland surface area","OK")))</f>
        <v/>
      </c>
    </row>
    <row r="62" spans="1:7" ht="17.25" x14ac:dyDescent="0.25">
      <c r="A62" s="20" t="s">
        <v>34</v>
      </c>
      <c r="B62" s="82"/>
      <c r="C62" s="4"/>
      <c r="D62" s="16"/>
      <c r="E62" s="51"/>
    </row>
    <row r="63" spans="1:7" ht="19.5" x14ac:dyDescent="0.25">
      <c r="A63" s="15" t="s">
        <v>35</v>
      </c>
      <c r="B63" s="75"/>
      <c r="C63" s="4" t="s">
        <v>10</v>
      </c>
      <c r="D63" s="16"/>
      <c r="E63" s="51" t="s">
        <v>14</v>
      </c>
    </row>
    <row r="64" spans="1:7" ht="44.25" customHeight="1" x14ac:dyDescent="0.25">
      <c r="A64" s="15" t="s">
        <v>36</v>
      </c>
      <c r="B64" s="87" t="str">
        <f>IF(B63="","",B63/$B$57*100)</f>
        <v/>
      </c>
      <c r="C64" s="4" t="s">
        <v>15</v>
      </c>
      <c r="D64" s="5"/>
      <c r="E64" s="51" t="str">
        <f>IF(B63="","",IF(B64&lt;10,"Forebay should comprise approximately 10-15% of wetland surface area",IF(B64&gt;15,"Forebay should comprise approximately 10-15% of wetland surface area","OK")))</f>
        <v/>
      </c>
    </row>
    <row r="65" spans="1:5" ht="19.5" x14ac:dyDescent="0.25">
      <c r="A65" s="15" t="s">
        <v>37</v>
      </c>
      <c r="B65" s="75"/>
      <c r="C65" s="4" t="s">
        <v>10</v>
      </c>
      <c r="D65" s="23"/>
      <c r="E65" s="51" t="s">
        <v>14</v>
      </c>
    </row>
    <row r="66" spans="1:5" ht="47.25" customHeight="1" x14ac:dyDescent="0.25">
      <c r="A66" s="15" t="s">
        <v>38</v>
      </c>
      <c r="B66" s="87" t="str">
        <f>IF(B65="","",B65/$B$57*100)</f>
        <v/>
      </c>
      <c r="C66" s="4" t="s">
        <v>15</v>
      </c>
      <c r="D66" s="18"/>
      <c r="E66" s="51" t="str">
        <f>IF(B65="","",IF(B66&lt;5,"Deep pools should comprise approximately 5-10% of wetland surface area",IF(B66&gt;10,"Deep pools should comprise approximately 5-10% of wetland surface area","OK")))</f>
        <v/>
      </c>
    </row>
    <row r="67" spans="1:5" ht="36.75" customHeight="1" x14ac:dyDescent="0.25">
      <c r="A67" s="15" t="s">
        <v>39</v>
      </c>
      <c r="B67" s="82" t="str">
        <f>IF(B57="","",SUM(B58,B60,B63,B65))</f>
        <v/>
      </c>
      <c r="C67" s="4" t="s">
        <v>10</v>
      </c>
      <c r="D67" s="16"/>
      <c r="E67" s="51" t="str">
        <f>IF(B57="","",IF(B67=B57,"OK","Total zone area does not match total surface area"))</f>
        <v/>
      </c>
    </row>
    <row r="68" spans="1:5" ht="36.75" customHeight="1" x14ac:dyDescent="0.25">
      <c r="A68" s="15"/>
      <c r="B68" s="82"/>
      <c r="C68" s="4"/>
      <c r="D68" s="16"/>
      <c r="E68" s="51"/>
    </row>
    <row r="69" spans="1:5" ht="17.25" x14ac:dyDescent="0.25">
      <c r="A69" s="10" t="s">
        <v>40</v>
      </c>
      <c r="B69" s="79"/>
      <c r="C69" s="4"/>
      <c r="D69" s="5"/>
      <c r="E69" s="51"/>
    </row>
    <row r="70" spans="1:5" ht="17.25" x14ac:dyDescent="0.25">
      <c r="A70" s="3" t="s">
        <v>41</v>
      </c>
      <c r="B70" s="88"/>
      <c r="C70" s="3"/>
      <c r="D70" s="5"/>
      <c r="E70" s="51"/>
    </row>
    <row r="71" spans="1:5" ht="17.25" x14ac:dyDescent="0.25">
      <c r="A71" s="15" t="s">
        <v>42</v>
      </c>
      <c r="B71" s="89"/>
      <c r="C71" s="3" t="s">
        <v>43</v>
      </c>
      <c r="D71" s="5"/>
      <c r="E71" s="51"/>
    </row>
    <row r="72" spans="1:5" ht="17.25" x14ac:dyDescent="0.25">
      <c r="A72" s="3" t="s">
        <v>44</v>
      </c>
      <c r="B72" s="90"/>
      <c r="C72" s="3"/>
      <c r="D72" s="5"/>
      <c r="E72" s="51"/>
    </row>
    <row r="73" spans="1:5" ht="17.25" x14ac:dyDescent="0.25">
      <c r="A73" s="15" t="s">
        <v>45</v>
      </c>
      <c r="B73" s="91" t="str">
        <f>IF(B71="","",B71-(B33/12))</f>
        <v/>
      </c>
      <c r="C73" s="3" t="s">
        <v>43</v>
      </c>
      <c r="D73" s="24"/>
      <c r="E73" s="51"/>
    </row>
    <row r="74" spans="1:5" ht="17.25" x14ac:dyDescent="0.25">
      <c r="A74" s="31" t="s">
        <v>46</v>
      </c>
      <c r="B74" s="92"/>
      <c r="C74" s="3" t="s">
        <v>43</v>
      </c>
      <c r="D74" s="5"/>
      <c r="E74" s="51"/>
    </row>
    <row r="75" spans="1:5" ht="17.25" x14ac:dyDescent="0.25">
      <c r="A75" s="15" t="s">
        <v>47</v>
      </c>
      <c r="B75" s="92"/>
      <c r="C75" s="3" t="s">
        <v>43</v>
      </c>
      <c r="D75" s="5"/>
      <c r="E75" s="51"/>
    </row>
    <row r="76" spans="1:5" ht="17.25" x14ac:dyDescent="0.25">
      <c r="A76" s="15" t="s">
        <v>48</v>
      </c>
      <c r="B76" s="92"/>
      <c r="C76" s="3" t="s">
        <v>43</v>
      </c>
      <c r="D76" s="5"/>
      <c r="E76" s="51"/>
    </row>
    <row r="77" spans="1:5" ht="17.25" x14ac:dyDescent="0.25">
      <c r="A77" s="20" t="s">
        <v>49</v>
      </c>
      <c r="B77" s="88"/>
      <c r="C77" s="3"/>
      <c r="D77" s="5"/>
      <c r="E77" s="51"/>
    </row>
    <row r="78" spans="1:5" ht="17.25" x14ac:dyDescent="0.25">
      <c r="A78" s="31" t="s">
        <v>143</v>
      </c>
      <c r="B78" s="93"/>
      <c r="C78" s="11"/>
      <c r="D78" s="5"/>
      <c r="E78" s="51"/>
    </row>
    <row r="79" spans="1:5" ht="36" customHeight="1" x14ac:dyDescent="0.25">
      <c r="A79" s="32" t="s">
        <v>50</v>
      </c>
      <c r="B79" s="89"/>
      <c r="C79" s="3" t="s">
        <v>43</v>
      </c>
      <c r="D79" s="25" t="str">
        <f>IF(B78="Yes",B73-B79,"")</f>
        <v/>
      </c>
      <c r="E79" s="54" t="str">
        <f>IF(D79="","",IF(D79&gt;0.5,"PPE is not within 6 in of SHWT. Use Option #2",IF(D79&lt;-0.5,"PPE is not within 6 in of SHWT. Use Option #2","OK")))</f>
        <v/>
      </c>
    </row>
    <row r="80" spans="1:5" ht="17.25" x14ac:dyDescent="0.25">
      <c r="A80" s="31" t="s">
        <v>144</v>
      </c>
      <c r="B80" s="93"/>
      <c r="C80" s="11"/>
      <c r="D80" s="5"/>
      <c r="E80" s="53"/>
    </row>
    <row r="81" spans="1:8" ht="17.25" x14ac:dyDescent="0.25">
      <c r="A81" s="32" t="s">
        <v>51</v>
      </c>
      <c r="B81" s="85"/>
      <c r="C81" s="3" t="s">
        <v>17</v>
      </c>
      <c r="D81" s="16"/>
      <c r="E81" s="54" t="str">
        <f>IF(B81="","",IF(B81&lt;4,"Minimum depth = 4 in",IF(B81&gt;36,"Too deep","OK")))</f>
        <v/>
      </c>
    </row>
    <row r="82" spans="1:8" ht="17.25" x14ac:dyDescent="0.25">
      <c r="A82" s="3"/>
      <c r="B82" s="90"/>
      <c r="C82" s="3"/>
      <c r="D82" s="16"/>
      <c r="E82" s="51"/>
    </row>
    <row r="83" spans="1:8" ht="17.25" x14ac:dyDescent="0.25">
      <c r="A83" s="10" t="s">
        <v>52</v>
      </c>
      <c r="B83" s="79"/>
      <c r="C83" s="3"/>
      <c r="D83" s="5"/>
      <c r="E83" s="51"/>
    </row>
    <row r="84" spans="1:8" ht="17.25" x14ac:dyDescent="0.25">
      <c r="A84" s="3" t="s">
        <v>53</v>
      </c>
      <c r="B84" s="88"/>
      <c r="C84" s="3"/>
      <c r="D84" s="5"/>
      <c r="E84" s="51"/>
    </row>
    <row r="85" spans="1:8" ht="17.25" x14ac:dyDescent="0.25">
      <c r="A85" s="15" t="s">
        <v>30</v>
      </c>
      <c r="B85" s="94" t="str">
        <f>IF(B71="","",(B71-B73)*12)</f>
        <v/>
      </c>
      <c r="C85" s="3" t="s">
        <v>17</v>
      </c>
      <c r="D85" s="16"/>
      <c r="E85" s="54" t="str">
        <f>IF(B85="","",IF(B85&lt;=12,"OK","Maximum depth = 12 in"))</f>
        <v/>
      </c>
    </row>
    <row r="86" spans="1:8" ht="17.25" x14ac:dyDescent="0.25">
      <c r="A86" s="3" t="s">
        <v>54</v>
      </c>
      <c r="B86" s="88"/>
      <c r="C86" s="3"/>
      <c r="D86" s="5"/>
      <c r="E86" s="51"/>
    </row>
    <row r="87" spans="1:8" ht="17.25" x14ac:dyDescent="0.25">
      <c r="A87" s="15" t="s">
        <v>32</v>
      </c>
      <c r="B87" s="94" t="str">
        <f>IF(B73="","",(B73-B74)*12)</f>
        <v/>
      </c>
      <c r="C87" s="3" t="s">
        <v>17</v>
      </c>
      <c r="D87" s="16"/>
      <c r="E87" s="54" t="str">
        <f>IF(B87="","",IF(B87&lt;3,"Minimum depth = 3 in",IF(B87&gt;6,"Maximum depth = 6 in","OK")))</f>
        <v/>
      </c>
    </row>
    <row r="88" spans="1:8" ht="17.25" x14ac:dyDescent="0.25">
      <c r="A88" s="15" t="s">
        <v>55</v>
      </c>
      <c r="B88" s="95" t="str">
        <f>IF(B73="","",(B73-B75)*12)</f>
        <v/>
      </c>
      <c r="C88" s="3" t="s">
        <v>17</v>
      </c>
      <c r="D88" s="16"/>
      <c r="E88" s="54" t="str">
        <f>IF(B88="","",IF(B88&lt;18,"Minimum depth = 18 in","OK"))</f>
        <v/>
      </c>
    </row>
    <row r="89" spans="1:8" ht="17.25" x14ac:dyDescent="0.25">
      <c r="A89" s="15" t="s">
        <v>56</v>
      </c>
      <c r="B89" s="94" t="str">
        <f>IF(B73="","",(B73-B76)*12)</f>
        <v/>
      </c>
      <c r="C89" s="3" t="s">
        <v>17</v>
      </c>
      <c r="D89" s="16"/>
      <c r="E89" s="54" t="str">
        <f>IF(B89="","",IF(B89&gt;36,"Maximum depth = 36 in","OK"))</f>
        <v/>
      </c>
      <c r="F89" s="3"/>
      <c r="G89" s="3"/>
      <c r="H89" s="3"/>
    </row>
    <row r="90" spans="1:8" ht="17.25" x14ac:dyDescent="0.25">
      <c r="A90" s="15"/>
      <c r="B90" s="82"/>
      <c r="C90" s="4"/>
      <c r="D90" s="26"/>
      <c r="E90" s="51"/>
      <c r="F90" s="3"/>
      <c r="G90" s="3"/>
      <c r="H90" s="3"/>
    </row>
    <row r="91" spans="1:8" ht="17.25" x14ac:dyDescent="0.25">
      <c r="A91" s="19" t="s">
        <v>57</v>
      </c>
      <c r="B91" s="82"/>
      <c r="C91" s="4"/>
      <c r="D91" s="5"/>
      <c r="E91" s="54"/>
      <c r="F91" s="9"/>
      <c r="G91" s="9"/>
      <c r="H91" s="9"/>
    </row>
    <row r="92" spans="1:8" ht="17.25" x14ac:dyDescent="0.25">
      <c r="A92" s="20" t="s">
        <v>58</v>
      </c>
      <c r="B92" s="93"/>
      <c r="C92" s="11"/>
      <c r="D92" s="5"/>
      <c r="E92" s="51" t="str">
        <f>IF(B92="","",IF(B92="Yes","Do not plant cattails","OK"))</f>
        <v/>
      </c>
      <c r="F92" s="9"/>
      <c r="G92" s="9"/>
      <c r="H92" s="9"/>
    </row>
    <row r="93" spans="1:8" ht="17.25" x14ac:dyDescent="0.25">
      <c r="A93" s="30" t="s">
        <v>59</v>
      </c>
      <c r="B93" s="90"/>
      <c r="C93" s="3"/>
      <c r="D93" s="5"/>
      <c r="E93" s="51"/>
      <c r="F93" s="3"/>
      <c r="G93" s="3"/>
      <c r="H93" s="3"/>
    </row>
    <row r="94" spans="1:8" ht="32.25" x14ac:dyDescent="0.25">
      <c r="A94" s="15" t="s">
        <v>90</v>
      </c>
      <c r="B94" s="96" t="str">
        <f>IF(B60="","",50*ROUNDUP($B$60/200,0))</f>
        <v/>
      </c>
      <c r="C94" s="3"/>
      <c r="D94" s="5"/>
      <c r="E94" s="51"/>
      <c r="F94" s="3"/>
      <c r="G94" s="3"/>
      <c r="H94" s="3"/>
    </row>
    <row r="95" spans="1:8" ht="17.25" x14ac:dyDescent="0.25">
      <c r="A95" s="30" t="s">
        <v>61</v>
      </c>
      <c r="B95" s="90"/>
      <c r="C95" s="3"/>
      <c r="D95" s="5"/>
      <c r="E95" s="51"/>
      <c r="F95" s="3"/>
      <c r="G95" s="3"/>
      <c r="H95" s="3"/>
    </row>
    <row r="96" spans="1:8" ht="36.75" x14ac:dyDescent="0.25">
      <c r="A96" s="15" t="s">
        <v>91</v>
      </c>
      <c r="B96" s="96" t="str">
        <f>IF($B$58="","",50*ROUNDUP($B$58/200,0))</f>
        <v/>
      </c>
      <c r="C96" s="3"/>
      <c r="D96" s="5"/>
      <c r="E96" s="51"/>
      <c r="F96" s="3"/>
      <c r="G96" s="3"/>
      <c r="H96" s="3"/>
    </row>
    <row r="97" spans="1:8" ht="34.5" x14ac:dyDescent="0.25">
      <c r="A97" s="15" t="s">
        <v>92</v>
      </c>
      <c r="B97" s="96" t="str">
        <f>IF($B$58="","",8*ROUNDUP($B$58/200,0))</f>
        <v/>
      </c>
      <c r="C97" s="3"/>
      <c r="D97" s="5"/>
      <c r="E97" s="51"/>
      <c r="F97" s="3"/>
      <c r="G97" s="3"/>
      <c r="H97" s="3"/>
    </row>
    <row r="98" spans="1:8" ht="30" x14ac:dyDescent="0.25">
      <c r="A98" s="15" t="s">
        <v>93</v>
      </c>
      <c r="B98" s="96" t="str">
        <f>IF($B$58="","",ROUNDUP($B$58/200,0))</f>
        <v/>
      </c>
      <c r="C98" s="33" t="s">
        <v>62</v>
      </c>
      <c r="D98" s="5"/>
      <c r="E98" s="55" t="str">
        <f>IF($B$58="","",40*ROUNDUP($B$58/200,0))</f>
        <v/>
      </c>
      <c r="F98" s="3"/>
      <c r="G98" s="3"/>
      <c r="H98" s="3"/>
    </row>
    <row r="99" spans="1:8" ht="17.25" x14ac:dyDescent="0.25">
      <c r="A99" s="30" t="s">
        <v>63</v>
      </c>
      <c r="B99" s="90"/>
      <c r="C99" s="3"/>
      <c r="D99" s="5"/>
      <c r="E99" s="51"/>
      <c r="F99" s="3"/>
      <c r="G99" s="3"/>
      <c r="H99" s="3"/>
    </row>
    <row r="100" spans="1:8" ht="33.75" customHeight="1" x14ac:dyDescent="0.25">
      <c r="A100" s="15" t="s">
        <v>60</v>
      </c>
      <c r="B100" s="89"/>
      <c r="C100" s="3"/>
      <c r="D100" s="5"/>
      <c r="E100" s="51" t="str">
        <f>IF(B100="","",IF(B100&lt;B94,"Does not meet minimum requirements; Add more plants","OK"))</f>
        <v/>
      </c>
      <c r="F100" s="3"/>
      <c r="G100" s="3"/>
      <c r="H100" s="3"/>
    </row>
    <row r="101" spans="1:8" ht="17.25" x14ac:dyDescent="0.25">
      <c r="A101" s="30" t="s">
        <v>64</v>
      </c>
      <c r="B101" s="90"/>
      <c r="C101" s="3"/>
      <c r="D101" s="5"/>
      <c r="E101" s="51"/>
      <c r="F101" s="3"/>
      <c r="G101" s="3"/>
      <c r="H101" s="3"/>
    </row>
    <row r="102" spans="1:8" ht="34.5" customHeight="1" x14ac:dyDescent="0.25">
      <c r="A102" s="15" t="s">
        <v>60</v>
      </c>
      <c r="B102" s="89"/>
      <c r="C102" s="3"/>
      <c r="D102" s="5"/>
      <c r="E102" s="51" t="str">
        <f>IF(B102="","",IF(B102&lt;B96,"Does not meet minimum requirements; Add more plants","OK"))</f>
        <v/>
      </c>
      <c r="F102" s="3"/>
      <c r="G102" s="3"/>
      <c r="H102" s="3"/>
    </row>
    <row r="103" spans="1:8" ht="34.5" customHeight="1" x14ac:dyDescent="0.25">
      <c r="A103" s="15" t="s">
        <v>65</v>
      </c>
      <c r="B103" s="89"/>
      <c r="C103" s="3"/>
      <c r="D103" s="5"/>
      <c r="E103" s="51" t="str">
        <f>IF(B103="","",IF(B103&lt;B97,"Does not meet minimum requirements; Add more plants","OK"))</f>
        <v/>
      </c>
      <c r="F103" s="3"/>
    </row>
    <row r="104" spans="1:8" ht="35.25" customHeight="1" x14ac:dyDescent="0.25">
      <c r="A104" s="15" t="s">
        <v>66</v>
      </c>
      <c r="B104" s="92"/>
      <c r="C104" s="3"/>
      <c r="D104" s="5"/>
      <c r="E104" s="51" t="str">
        <f>IF(B104="","",IF(B104&lt;B98,"Does not meet minimum requirements; Add more plants","OK"))</f>
        <v/>
      </c>
      <c r="F104" s="3"/>
    </row>
    <row r="105" spans="1:8" ht="37.5" customHeight="1" x14ac:dyDescent="0.25">
      <c r="A105" s="15" t="s">
        <v>67</v>
      </c>
      <c r="B105" s="92"/>
      <c r="C105" s="3"/>
      <c r="D105" s="5"/>
      <c r="E105" s="51" t="str">
        <f>IF(B105="","",IF(B105&lt;E98,"Does not meet minimum requirements; Add more plants","OK"))</f>
        <v/>
      </c>
      <c r="F105" s="3"/>
    </row>
    <row r="106" spans="1:8" ht="17.25" x14ac:dyDescent="0.25">
      <c r="A106" s="17"/>
      <c r="B106" s="88"/>
      <c r="C106" s="3"/>
      <c r="D106" s="5"/>
      <c r="E106" s="51"/>
      <c r="F106" s="3"/>
    </row>
    <row r="107" spans="1:8" ht="17.25" x14ac:dyDescent="0.25">
      <c r="A107" s="19" t="s">
        <v>68</v>
      </c>
      <c r="B107" s="82"/>
      <c r="C107" s="4"/>
      <c r="D107" s="26"/>
      <c r="E107" s="51"/>
      <c r="F107" s="3"/>
    </row>
    <row r="108" spans="1:8" ht="17.25" x14ac:dyDescent="0.25">
      <c r="A108" s="3" t="s">
        <v>69</v>
      </c>
      <c r="B108" s="93"/>
      <c r="C108" s="11"/>
      <c r="D108" s="5"/>
      <c r="E108" s="51" t="str">
        <f>IF(B108="","",IF(B108="Yes","OK,""InsufficientVolume"))</f>
        <v/>
      </c>
      <c r="F108" s="3"/>
    </row>
    <row r="109" spans="1:8" ht="17.25" x14ac:dyDescent="0.25">
      <c r="A109" s="3" t="s">
        <v>70</v>
      </c>
      <c r="B109" s="93"/>
      <c r="C109" s="11"/>
      <c r="D109" s="5"/>
      <c r="E109" s="51" t="str">
        <f>IF(B109="","",IF(B109="Yes","Excess volume must pass through VFS","OK"))</f>
        <v/>
      </c>
      <c r="F109" s="3"/>
    </row>
    <row r="110" spans="1:8" ht="17.25" x14ac:dyDescent="0.25">
      <c r="A110" s="15" t="s">
        <v>94</v>
      </c>
      <c r="B110" s="93"/>
      <c r="C110" s="11" t="s">
        <v>19</v>
      </c>
      <c r="D110" s="5"/>
      <c r="E110" s="51" t="str">
        <f>IF(B110="","",IF(B110&lt;30,"Minimum length required = 30 ft","OK"))</f>
        <v/>
      </c>
      <c r="F110" s="3"/>
    </row>
    <row r="111" spans="1:8" ht="17.25" x14ac:dyDescent="0.25">
      <c r="A111" s="3" t="s">
        <v>71</v>
      </c>
      <c r="B111" s="93"/>
      <c r="C111" s="11"/>
      <c r="D111" s="5"/>
      <c r="E111" s="51" t="str">
        <f>IF(B111="","",IF(B111="Yes","OK","Please provide calculations"))</f>
        <v/>
      </c>
      <c r="F111" s="3"/>
    </row>
    <row r="112" spans="1:8" ht="36.75" customHeight="1" x14ac:dyDescent="0.25">
      <c r="A112" s="3" t="s">
        <v>72</v>
      </c>
      <c r="B112" s="93"/>
      <c r="C112" s="11"/>
      <c r="D112" s="5"/>
      <c r="E112" s="51" t="str">
        <f>IF(B112="","",IF(B112="Yes","OK","BMP must handle all runoff from ultimate build-out"))</f>
        <v/>
      </c>
      <c r="F112" s="4"/>
    </row>
    <row r="113" spans="1:6" ht="34.5" x14ac:dyDescent="0.25">
      <c r="A113" s="3" t="s">
        <v>73</v>
      </c>
      <c r="B113" s="93"/>
      <c r="C113" s="11"/>
      <c r="D113" s="5"/>
      <c r="E113" s="51" t="str">
        <f>IF(B113="","",IF(B113="Yes","OK","Please provide drainage easement"))</f>
        <v/>
      </c>
      <c r="F113" s="3"/>
    </row>
    <row r="114" spans="1:6" ht="17.25" x14ac:dyDescent="0.25">
      <c r="A114" s="3" t="s">
        <v>74</v>
      </c>
      <c r="B114" s="97" t="str">
        <f>IF(B115="","",B115/B116)</f>
        <v/>
      </c>
      <c r="C114" s="4" t="s">
        <v>75</v>
      </c>
      <c r="D114" s="5"/>
      <c r="E114" s="51" t="str">
        <f>IF(B114="","",IF(B114&lt;1.5,"Minimum ratio = 1.5:1","OK"))</f>
        <v/>
      </c>
      <c r="F114" s="3"/>
    </row>
    <row r="115" spans="1:6" ht="17.25" x14ac:dyDescent="0.25">
      <c r="A115" s="15" t="s">
        <v>76</v>
      </c>
      <c r="B115" s="75"/>
      <c r="C115" s="4" t="s">
        <v>27</v>
      </c>
      <c r="D115" s="5"/>
      <c r="E115" s="51"/>
      <c r="F115" s="3"/>
    </row>
    <row r="116" spans="1:6" ht="17.25" x14ac:dyDescent="0.25">
      <c r="A116" s="15" t="s">
        <v>77</v>
      </c>
      <c r="B116" s="75"/>
      <c r="C116" s="4" t="s">
        <v>27</v>
      </c>
      <c r="D116" s="27" t="s">
        <v>23</v>
      </c>
      <c r="E116" s="51"/>
      <c r="F116" s="3"/>
    </row>
    <row r="117" spans="1:6" ht="19.5" x14ac:dyDescent="0.25">
      <c r="A117" s="15" t="s">
        <v>78</v>
      </c>
      <c r="B117" s="98" t="str">
        <f>IF(B115="","",B115*B116)</f>
        <v/>
      </c>
      <c r="C117" s="4" t="s">
        <v>10</v>
      </c>
      <c r="D117" s="14">
        <v>0</v>
      </c>
      <c r="E117" s="51" t="str">
        <f>IF(B117="","",IF(B117=B57,"OK","Surface area does not match the surface area reported above"))</f>
        <v/>
      </c>
      <c r="F117" s="3"/>
    </row>
    <row r="118" spans="1:6" ht="17.25" x14ac:dyDescent="0.25">
      <c r="A118" s="3" t="s">
        <v>79</v>
      </c>
      <c r="B118" s="93"/>
      <c r="C118" s="11"/>
      <c r="D118" s="14" t="s">
        <v>14</v>
      </c>
      <c r="E118" s="51" t="str">
        <f>IF(B118="","",IF(B118="Yes","OK","Must be stabilized within 14 days"))</f>
        <v/>
      </c>
      <c r="F118" s="3"/>
    </row>
    <row r="119" spans="1:6" ht="17.25" x14ac:dyDescent="0.25">
      <c r="B119" s="74"/>
      <c r="C119" s="4"/>
      <c r="D119" s="5"/>
    </row>
    <row r="120" spans="1:6" ht="18" x14ac:dyDescent="0.25">
      <c r="A120" s="62" t="s">
        <v>95</v>
      </c>
      <c r="B120" s="155"/>
      <c r="C120" s="155"/>
      <c r="D120" s="155"/>
      <c r="E120" s="155"/>
    </row>
    <row r="121" spans="1:6" ht="18" x14ac:dyDescent="0.25">
      <c r="A121" s="63"/>
      <c r="B121" s="99"/>
      <c r="C121" s="58"/>
      <c r="D121" s="57"/>
      <c r="E121" s="59"/>
    </row>
    <row r="122" spans="1:6" ht="51.75" customHeight="1" x14ac:dyDescent="0.25">
      <c r="A122" s="153" t="s">
        <v>96</v>
      </c>
      <c r="B122" s="153"/>
      <c r="C122" s="153"/>
      <c r="D122" s="153"/>
      <c r="E122" s="153"/>
    </row>
    <row r="123" spans="1:6" ht="17.25" x14ac:dyDescent="0.25">
      <c r="A123" s="60"/>
      <c r="B123" s="100"/>
      <c r="C123" s="61"/>
      <c r="D123" s="61"/>
      <c r="E123" s="59"/>
    </row>
    <row r="124" spans="1:6" ht="17.25" x14ac:dyDescent="0.3">
      <c r="A124" s="147" t="s">
        <v>97</v>
      </c>
      <c r="B124" s="147"/>
      <c r="C124" s="68" t="s">
        <v>98</v>
      </c>
      <c r="D124" s="148" t="s">
        <v>99</v>
      </c>
      <c r="E124" s="148"/>
    </row>
    <row r="125" spans="1:6" ht="149.25" customHeight="1" x14ac:dyDescent="0.25">
      <c r="A125" s="146" t="s">
        <v>100</v>
      </c>
      <c r="B125" s="146"/>
      <c r="C125" s="65"/>
      <c r="D125" s="149"/>
      <c r="E125" s="150"/>
    </row>
    <row r="126" spans="1:6" ht="76.5" customHeight="1" x14ac:dyDescent="0.25">
      <c r="A126" s="146" t="s">
        <v>101</v>
      </c>
      <c r="B126" s="146"/>
      <c r="C126" s="66"/>
      <c r="D126" s="151"/>
      <c r="E126" s="152"/>
    </row>
    <row r="127" spans="1:6" ht="74.25" customHeight="1" x14ac:dyDescent="0.25">
      <c r="A127" s="146" t="s">
        <v>102</v>
      </c>
      <c r="B127" s="146"/>
      <c r="C127" s="65"/>
      <c r="D127" s="151"/>
      <c r="E127" s="152"/>
    </row>
    <row r="128" spans="1:6" ht="118.5" customHeight="1" x14ac:dyDescent="0.25">
      <c r="A128" s="146" t="s">
        <v>103</v>
      </c>
      <c r="B128" s="146"/>
      <c r="C128" s="64"/>
      <c r="D128" s="151"/>
      <c r="E128" s="152"/>
    </row>
    <row r="129" spans="1:5" ht="39" customHeight="1" x14ac:dyDescent="0.25">
      <c r="A129" s="146" t="s">
        <v>104</v>
      </c>
      <c r="B129" s="146"/>
      <c r="C129" s="67"/>
      <c r="D129" s="151"/>
      <c r="E129" s="152"/>
    </row>
    <row r="130" spans="1:5" s="56" customFormat="1" ht="39" customHeight="1" x14ac:dyDescent="0.25">
      <c r="A130" s="146" t="s">
        <v>106</v>
      </c>
      <c r="B130" s="146"/>
      <c r="C130" s="67"/>
      <c r="D130" s="69"/>
      <c r="E130" s="70"/>
    </row>
    <row r="131" spans="1:5" ht="30" customHeight="1" x14ac:dyDescent="0.25">
      <c r="A131" s="146" t="s">
        <v>105</v>
      </c>
      <c r="B131" s="146"/>
      <c r="C131" s="67"/>
      <c r="D131" s="151"/>
      <c r="E131" s="152"/>
    </row>
    <row r="132" spans="1:5" ht="45.75" customHeight="1" x14ac:dyDescent="0.25">
      <c r="A132" s="146" t="s">
        <v>107</v>
      </c>
      <c r="B132" s="146"/>
      <c r="C132" s="67"/>
      <c r="D132" s="151"/>
      <c r="E132" s="152"/>
    </row>
    <row r="137" spans="1:5" ht="17.25" x14ac:dyDescent="0.25">
      <c r="B137" s="74"/>
      <c r="C137" s="4"/>
      <c r="D137" s="5"/>
    </row>
    <row r="138" spans="1:5" ht="17.25" x14ac:dyDescent="0.25">
      <c r="B138" s="74"/>
      <c r="C138" s="4"/>
      <c r="D138" s="5"/>
    </row>
    <row r="139" spans="1:5" ht="17.25" x14ac:dyDescent="0.25">
      <c r="B139" s="74"/>
      <c r="C139" s="4"/>
      <c r="D139" s="5"/>
    </row>
    <row r="140" spans="1:5" ht="17.25" x14ac:dyDescent="0.25">
      <c r="B140" s="74"/>
      <c r="C140" s="4"/>
      <c r="D140" s="5"/>
    </row>
    <row r="141" spans="1:5" ht="17.25" x14ac:dyDescent="0.25">
      <c r="B141" s="74"/>
      <c r="C141" s="4"/>
      <c r="D141" s="5"/>
    </row>
    <row r="142" spans="1:5" ht="17.25" x14ac:dyDescent="0.25">
      <c r="B142" s="74"/>
      <c r="C142" s="4"/>
      <c r="D142" s="5"/>
    </row>
    <row r="143" spans="1:5" ht="17.25" x14ac:dyDescent="0.25">
      <c r="B143" s="74"/>
      <c r="C143" s="4"/>
      <c r="D143" s="5"/>
    </row>
    <row r="144" spans="1:5" ht="17.25" x14ac:dyDescent="0.25">
      <c r="B144" s="74"/>
      <c r="C144" s="4"/>
      <c r="D144" s="5"/>
    </row>
    <row r="145" spans="2:4" ht="17.25" x14ac:dyDescent="0.25">
      <c r="B145" s="74"/>
      <c r="C145" s="4"/>
      <c r="D145" s="5"/>
    </row>
    <row r="146" spans="2:4" ht="17.25" x14ac:dyDescent="0.25">
      <c r="B146" s="74"/>
      <c r="C146" s="4"/>
      <c r="D146" s="5"/>
    </row>
    <row r="147" spans="2:4" ht="17.25" x14ac:dyDescent="0.25">
      <c r="B147" s="74"/>
      <c r="C147" s="4"/>
      <c r="D147" s="5"/>
    </row>
    <row r="148" spans="2:4" ht="17.25" x14ac:dyDescent="0.25">
      <c r="B148" s="74"/>
      <c r="C148" s="4"/>
      <c r="D148" s="5"/>
    </row>
    <row r="149" spans="2:4" ht="17.25" x14ac:dyDescent="0.25">
      <c r="B149" s="74"/>
      <c r="C149" s="4"/>
      <c r="D149" s="5"/>
    </row>
    <row r="150" spans="2:4" ht="17.25" x14ac:dyDescent="0.25">
      <c r="B150" s="74"/>
      <c r="C150" s="4"/>
      <c r="D150" s="5"/>
    </row>
    <row r="151" spans="2:4" ht="17.25" x14ac:dyDescent="0.25">
      <c r="B151" s="74"/>
      <c r="C151" s="4"/>
      <c r="D151" s="5"/>
    </row>
    <row r="152" spans="2:4" ht="17.25" x14ac:dyDescent="0.25">
      <c r="B152" s="74"/>
      <c r="C152" s="4"/>
      <c r="D152" s="5"/>
    </row>
    <row r="153" spans="2:4" ht="17.25" x14ac:dyDescent="0.25">
      <c r="B153" s="74"/>
      <c r="C153" s="4"/>
      <c r="D153" s="5"/>
    </row>
    <row r="154" spans="2:4" ht="17.25" x14ac:dyDescent="0.25">
      <c r="B154" s="74"/>
      <c r="C154" s="4"/>
      <c r="D154" s="5"/>
    </row>
    <row r="155" spans="2:4" ht="17.25" x14ac:dyDescent="0.25">
      <c r="B155" s="74"/>
      <c r="C155" s="4"/>
      <c r="D155" s="5"/>
    </row>
    <row r="156" spans="2:4" ht="17.25" x14ac:dyDescent="0.25">
      <c r="B156" s="74"/>
      <c r="C156" s="4"/>
      <c r="D156" s="5"/>
    </row>
    <row r="157" spans="2:4" ht="17.25" x14ac:dyDescent="0.25">
      <c r="B157" s="74"/>
      <c r="C157" s="4"/>
      <c r="D157" s="5"/>
    </row>
    <row r="158" spans="2:4" ht="17.25" x14ac:dyDescent="0.25">
      <c r="B158" s="74"/>
      <c r="C158" s="4"/>
      <c r="D158" s="5"/>
    </row>
    <row r="159" spans="2:4" ht="17.25" x14ac:dyDescent="0.25">
      <c r="B159" s="74"/>
      <c r="C159" s="4"/>
      <c r="D159" s="5"/>
    </row>
    <row r="160" spans="2:4" ht="17.25" x14ac:dyDescent="0.25">
      <c r="B160" s="74"/>
      <c r="C160" s="4"/>
      <c r="D160" s="5"/>
    </row>
    <row r="161" spans="2:4" ht="17.25" x14ac:dyDescent="0.25">
      <c r="B161" s="74"/>
      <c r="C161" s="4"/>
      <c r="D161" s="5"/>
    </row>
    <row r="162" spans="2:4" ht="17.25" x14ac:dyDescent="0.25">
      <c r="B162" s="74"/>
      <c r="C162" s="4"/>
      <c r="D162" s="5"/>
    </row>
    <row r="163" spans="2:4" ht="17.25" x14ac:dyDescent="0.25">
      <c r="B163" s="74"/>
      <c r="C163" s="4"/>
      <c r="D163" s="5"/>
    </row>
    <row r="164" spans="2:4" ht="17.25" x14ac:dyDescent="0.25">
      <c r="B164" s="74"/>
      <c r="C164" s="4"/>
      <c r="D164" s="5"/>
    </row>
    <row r="165" spans="2:4" ht="17.25" x14ac:dyDescent="0.25">
      <c r="B165" s="74"/>
      <c r="C165" s="4"/>
      <c r="D165" s="5"/>
    </row>
    <row r="166" spans="2:4" ht="17.25" x14ac:dyDescent="0.25">
      <c r="B166" s="74"/>
      <c r="C166" s="4"/>
      <c r="D166" s="5"/>
    </row>
    <row r="167" spans="2:4" ht="17.25" x14ac:dyDescent="0.25">
      <c r="B167" s="74"/>
      <c r="C167" s="4"/>
      <c r="D167" s="5"/>
    </row>
    <row r="168" spans="2:4" ht="17.25" x14ac:dyDescent="0.25">
      <c r="B168" s="74"/>
      <c r="C168" s="4"/>
      <c r="D168" s="5"/>
    </row>
    <row r="169" spans="2:4" ht="17.25" x14ac:dyDescent="0.25">
      <c r="B169" s="74"/>
      <c r="C169" s="4"/>
      <c r="D169" s="5"/>
    </row>
    <row r="170" spans="2:4" ht="17.25" x14ac:dyDescent="0.25">
      <c r="B170" s="74"/>
      <c r="C170" s="4"/>
      <c r="D170" s="5"/>
    </row>
    <row r="171" spans="2:4" ht="17.25" x14ac:dyDescent="0.25">
      <c r="B171" s="74"/>
      <c r="C171" s="4"/>
      <c r="D171" s="5"/>
    </row>
    <row r="172" spans="2:4" ht="17.25" x14ac:dyDescent="0.25">
      <c r="B172" s="74"/>
      <c r="C172" s="4"/>
      <c r="D172" s="5"/>
    </row>
    <row r="173" spans="2:4" ht="17.25" x14ac:dyDescent="0.25">
      <c r="B173" s="74"/>
      <c r="C173" s="4"/>
      <c r="D173" s="5"/>
    </row>
    <row r="174" spans="2:4" ht="17.25" x14ac:dyDescent="0.25">
      <c r="B174" s="74"/>
      <c r="C174" s="4"/>
      <c r="D174" s="5"/>
    </row>
    <row r="175" spans="2:4" ht="17.25" x14ac:dyDescent="0.25">
      <c r="B175" s="74"/>
      <c r="C175" s="4"/>
      <c r="D175" s="5"/>
    </row>
    <row r="176" spans="2:4" ht="17.25" x14ac:dyDescent="0.25">
      <c r="B176" s="74"/>
      <c r="C176" s="4"/>
      <c r="D176" s="5"/>
    </row>
    <row r="177" spans="2:4" ht="17.25" x14ac:dyDescent="0.25">
      <c r="B177" s="74"/>
      <c r="C177" s="4"/>
      <c r="D177" s="5"/>
    </row>
    <row r="178" spans="2:4" ht="17.25" x14ac:dyDescent="0.25">
      <c r="B178" s="74"/>
      <c r="C178" s="4"/>
      <c r="D178" s="5"/>
    </row>
    <row r="179" spans="2:4" ht="17.25" x14ac:dyDescent="0.25">
      <c r="B179" s="74"/>
      <c r="C179" s="4"/>
      <c r="D179" s="5"/>
    </row>
    <row r="180" spans="2:4" ht="17.25" x14ac:dyDescent="0.25">
      <c r="B180" s="74"/>
      <c r="C180" s="4"/>
      <c r="D180" s="5"/>
    </row>
    <row r="181" spans="2:4" ht="17.25" x14ac:dyDescent="0.25">
      <c r="B181" s="74"/>
      <c r="C181" s="4"/>
      <c r="D181" s="5"/>
    </row>
    <row r="182" spans="2:4" ht="17.25" x14ac:dyDescent="0.25">
      <c r="B182" s="74"/>
      <c r="C182" s="4"/>
      <c r="D182" s="5"/>
    </row>
    <row r="183" spans="2:4" ht="17.25" x14ac:dyDescent="0.25">
      <c r="B183" s="74"/>
      <c r="C183" s="4"/>
      <c r="D183" s="5"/>
    </row>
    <row r="184" spans="2:4" ht="17.25" x14ac:dyDescent="0.25">
      <c r="B184" s="74"/>
      <c r="C184" s="4"/>
      <c r="D184" s="5"/>
    </row>
    <row r="185" spans="2:4" ht="17.25" x14ac:dyDescent="0.25">
      <c r="B185" s="74"/>
      <c r="C185" s="4"/>
      <c r="D185" s="5"/>
    </row>
    <row r="186" spans="2:4" ht="17.25" x14ac:dyDescent="0.25">
      <c r="B186" s="74"/>
      <c r="C186" s="4"/>
      <c r="D186" s="5"/>
    </row>
    <row r="187" spans="2:4" ht="17.25" x14ac:dyDescent="0.25">
      <c r="B187" s="74"/>
      <c r="C187" s="4"/>
      <c r="D187" s="5"/>
    </row>
    <row r="188" spans="2:4" ht="17.25" x14ac:dyDescent="0.25">
      <c r="B188" s="74"/>
      <c r="C188" s="4"/>
      <c r="D188" s="5"/>
    </row>
    <row r="189" spans="2:4" ht="17.25" x14ac:dyDescent="0.25">
      <c r="B189" s="74"/>
      <c r="C189" s="4"/>
      <c r="D189" s="5"/>
    </row>
    <row r="190" spans="2:4" ht="17.25" x14ac:dyDescent="0.25">
      <c r="B190" s="74"/>
      <c r="C190" s="4"/>
      <c r="D190" s="5"/>
    </row>
    <row r="191" spans="2:4" ht="17.25" x14ac:dyDescent="0.25">
      <c r="B191" s="74"/>
      <c r="C191" s="4"/>
      <c r="D191" s="5"/>
    </row>
    <row r="192" spans="2:4" ht="17.25" x14ac:dyDescent="0.25">
      <c r="B192" s="74"/>
      <c r="C192" s="4"/>
      <c r="D192" s="5"/>
    </row>
    <row r="193" spans="2:4" ht="17.25" x14ac:dyDescent="0.25">
      <c r="B193" s="74"/>
      <c r="C193" s="4"/>
      <c r="D193" s="5"/>
    </row>
    <row r="194" spans="2:4" ht="17.25" x14ac:dyDescent="0.25">
      <c r="B194" s="74"/>
      <c r="C194" s="4"/>
      <c r="D194" s="5"/>
    </row>
    <row r="195" spans="2:4" ht="17.25" x14ac:dyDescent="0.25">
      <c r="B195" s="74"/>
      <c r="C195" s="4"/>
      <c r="D195" s="5"/>
    </row>
    <row r="196" spans="2:4" ht="17.25" x14ac:dyDescent="0.25">
      <c r="B196" s="74"/>
      <c r="C196" s="4"/>
      <c r="D196" s="5"/>
    </row>
    <row r="197" spans="2:4" ht="17.25" x14ac:dyDescent="0.25">
      <c r="B197" s="74"/>
      <c r="C197" s="4"/>
      <c r="D197" s="5"/>
    </row>
    <row r="198" spans="2:4" ht="17.25" x14ac:dyDescent="0.25">
      <c r="B198" s="74"/>
      <c r="C198" s="4"/>
      <c r="D198" s="5"/>
    </row>
    <row r="199" spans="2:4" ht="17.25" x14ac:dyDescent="0.25">
      <c r="B199" s="74"/>
      <c r="C199" s="4"/>
      <c r="D199" s="5"/>
    </row>
    <row r="200" spans="2:4" ht="17.25" x14ac:dyDescent="0.25">
      <c r="B200" s="74"/>
      <c r="C200" s="4"/>
      <c r="D200" s="5"/>
    </row>
    <row r="201" spans="2:4" ht="17.25" x14ac:dyDescent="0.25">
      <c r="B201" s="74"/>
      <c r="C201" s="4"/>
      <c r="D201" s="5"/>
    </row>
    <row r="202" spans="2:4" ht="17.25" x14ac:dyDescent="0.25">
      <c r="B202" s="74"/>
      <c r="C202" s="4"/>
      <c r="D202" s="5"/>
    </row>
    <row r="203" spans="2:4" ht="17.25" x14ac:dyDescent="0.25">
      <c r="B203" s="74"/>
      <c r="C203" s="4"/>
      <c r="D203" s="5"/>
    </row>
    <row r="204" spans="2:4" ht="17.25" x14ac:dyDescent="0.25">
      <c r="B204" s="74"/>
      <c r="C204" s="4"/>
      <c r="D204" s="5"/>
    </row>
    <row r="205" spans="2:4" ht="17.25" x14ac:dyDescent="0.25">
      <c r="B205" s="74"/>
      <c r="C205" s="4"/>
      <c r="D205" s="5"/>
    </row>
    <row r="206" spans="2:4" ht="17.25" x14ac:dyDescent="0.25">
      <c r="B206" s="74"/>
      <c r="C206" s="4"/>
      <c r="D206" s="5"/>
    </row>
    <row r="207" spans="2:4" ht="17.25" x14ac:dyDescent="0.25">
      <c r="B207" s="74"/>
      <c r="C207" s="4"/>
      <c r="D207" s="5"/>
    </row>
    <row r="208" spans="2:4" ht="17.25" x14ac:dyDescent="0.25">
      <c r="B208" s="74"/>
      <c r="C208" s="4"/>
      <c r="D208" s="5"/>
    </row>
  </sheetData>
  <mergeCells count="29">
    <mergeCell ref="A13:E13"/>
    <mergeCell ref="A2:E2"/>
    <mergeCell ref="A3:E3"/>
    <mergeCell ref="A4:E4"/>
    <mergeCell ref="A5:E5"/>
    <mergeCell ref="B7:E7"/>
    <mergeCell ref="B8:E8"/>
    <mergeCell ref="B11:E11"/>
    <mergeCell ref="B10:E10"/>
    <mergeCell ref="A122:E122"/>
    <mergeCell ref="B28:E28"/>
    <mergeCell ref="D131:E131"/>
    <mergeCell ref="D129:E129"/>
    <mergeCell ref="D128:E128"/>
    <mergeCell ref="D127:E127"/>
    <mergeCell ref="A130:B130"/>
    <mergeCell ref="A126:B126"/>
    <mergeCell ref="A128:B128"/>
    <mergeCell ref="A129:B129"/>
    <mergeCell ref="A131:B131"/>
    <mergeCell ref="B120:E120"/>
    <mergeCell ref="A132:B132"/>
    <mergeCell ref="A124:B124"/>
    <mergeCell ref="A125:B125"/>
    <mergeCell ref="A127:B127"/>
    <mergeCell ref="D124:E124"/>
    <mergeCell ref="D125:E125"/>
    <mergeCell ref="D126:E126"/>
    <mergeCell ref="D132:E132"/>
  </mergeCells>
  <dataValidations count="3">
    <dataValidation type="list" allowBlank="1" showInputMessage="1" showErrorMessage="1" sqref="B20 B118 B111:B113 B108:B109 B92 B80 B78 B34 B42">
      <formula1>$G$4:$G$5</formula1>
    </dataValidation>
    <dataValidation type="list" allowBlank="1" showInputMessage="1" showErrorMessage="1" sqref="B43">
      <formula1>$G$43:$G$45</formula1>
    </dataValidation>
    <dataValidation type="list" allowBlank="1" showInputMessage="1" showErrorMessage="1" sqref="B44">
      <formula1>$G$47:$G$49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A2" sqref="A2:B8"/>
    </sheetView>
  </sheetViews>
  <sheetFormatPr defaultRowHeight="15" x14ac:dyDescent="0.25"/>
  <cols>
    <col min="1" max="1" width="49.28515625" customWidth="1"/>
  </cols>
  <sheetData>
    <row r="2" spans="1:2" x14ac:dyDescent="0.25">
      <c r="A2" s="166" t="s">
        <v>135</v>
      </c>
      <c r="B2" s="166"/>
    </row>
    <row r="3" spans="1:2" ht="18" x14ac:dyDescent="0.35">
      <c r="A3" s="130" t="s">
        <v>136</v>
      </c>
      <c r="B3" s="130" t="s">
        <v>137</v>
      </c>
    </row>
    <row r="4" spans="1:2" x14ac:dyDescent="0.25">
      <c r="A4" s="128" t="s">
        <v>138</v>
      </c>
      <c r="B4" s="131">
        <v>0.6</v>
      </c>
    </row>
    <row r="5" spans="1:2" x14ac:dyDescent="0.25">
      <c r="A5" s="128" t="s">
        <v>139</v>
      </c>
      <c r="B5" s="131">
        <v>0.59</v>
      </c>
    </row>
    <row r="6" spans="1:2" x14ac:dyDescent="0.25">
      <c r="A6" s="128" t="s">
        <v>140</v>
      </c>
      <c r="B6" s="131">
        <v>0.65</v>
      </c>
    </row>
    <row r="7" spans="1:2" x14ac:dyDescent="0.25">
      <c r="A7" s="128" t="s">
        <v>141</v>
      </c>
      <c r="B7" s="131">
        <v>0.52</v>
      </c>
    </row>
    <row r="8" spans="1:2" x14ac:dyDescent="0.25">
      <c r="A8" s="128" t="s">
        <v>142</v>
      </c>
      <c r="B8" s="131">
        <v>1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Entire Form</vt:lpstr>
      <vt:lpstr>References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Young, Leah</cp:lastModifiedBy>
  <dcterms:created xsi:type="dcterms:W3CDTF">2011-12-12T13:22:39Z</dcterms:created>
  <dcterms:modified xsi:type="dcterms:W3CDTF">2011-12-12T21:36:23Z</dcterms:modified>
</cp:coreProperties>
</file>