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480" yWindow="75" windowWidth="18195" windowHeight="11820"/>
  </bookViews>
  <sheets>
    <sheet name="Entire Form" sheetId="1" r:id="rId1"/>
    <sheet name="Reference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74" i="1" l="1"/>
  <c r="B69" i="1" l="1"/>
  <c r="B68" i="1"/>
  <c r="B77" i="1"/>
  <c r="E74" i="1" l="1"/>
  <c r="E34" i="1"/>
  <c r="B40" i="1"/>
  <c r="B18" i="1" l="1"/>
  <c r="B16" i="1"/>
  <c r="E94" i="1"/>
  <c r="E93" i="1"/>
  <c r="E92" i="1"/>
  <c r="E90" i="1"/>
  <c r="E91" i="1"/>
  <c r="E89" i="1"/>
  <c r="E88" i="1"/>
  <c r="E87" i="1"/>
  <c r="E86" i="1"/>
  <c r="E85" i="1"/>
  <c r="E72" i="1"/>
  <c r="E76" i="1"/>
  <c r="E75" i="1"/>
  <c r="E73" i="1"/>
  <c r="E71" i="1"/>
  <c r="E67" i="1"/>
  <c r="E66" i="1"/>
  <c r="E65" i="1"/>
  <c r="E64" i="1"/>
  <c r="B79" i="1"/>
  <c r="B78" i="1"/>
  <c r="D72" i="1"/>
  <c r="D71" i="1" s="1"/>
  <c r="D70" i="1"/>
  <c r="D63" i="1"/>
  <c r="D65" i="1"/>
  <c r="D64" i="1"/>
  <c r="B44" i="1"/>
  <c r="B45" i="1" s="1"/>
  <c r="B51" i="1"/>
  <c r="B50" i="1" s="1"/>
  <c r="B58" i="1" s="1"/>
  <c r="B60" i="1" s="1"/>
  <c r="E43" i="1"/>
  <c r="B57" i="1"/>
  <c r="E57" i="1" s="1"/>
  <c r="E40" i="1"/>
  <c r="B26" i="1"/>
  <c r="E26" i="1" s="1"/>
  <c r="B19" i="1"/>
  <c r="E52" i="1" l="1"/>
  <c r="B80" i="1"/>
  <c r="B73" i="1"/>
  <c r="B81" i="1"/>
  <c r="B82" i="1" s="1"/>
  <c r="E82" i="1" s="1"/>
  <c r="E60" i="1"/>
  <c r="B21" i="1"/>
  <c r="B29" i="1" s="1"/>
  <c r="E30" i="1" s="1"/>
</calcChain>
</file>

<file path=xl/sharedStrings.xml><?xml version="1.0" encoding="utf-8"?>
<sst xmlns="http://schemas.openxmlformats.org/spreadsheetml/2006/main" count="167" uniqueCount="122">
  <si>
    <t>Please complete the yellow shaded items.</t>
  </si>
  <si>
    <t>STORMWATER MANAGEMENT PERMIT APPLICATION FORM</t>
  </si>
  <si>
    <t>I.  PROJECT INFORMATION</t>
  </si>
  <si>
    <t>Project name</t>
  </si>
  <si>
    <t>Contact person</t>
  </si>
  <si>
    <t>Phone number</t>
  </si>
  <si>
    <t>Date</t>
  </si>
  <si>
    <t>II.  DESIGN INFORMATION</t>
  </si>
  <si>
    <t>Site Characteristics</t>
  </si>
  <si>
    <t>Drainage area</t>
  </si>
  <si>
    <r>
      <t>ft</t>
    </r>
    <r>
      <rPr>
        <vertAlign val="superscript"/>
        <sz val="13"/>
        <rFont val="Arial Narrow"/>
        <family val="2"/>
      </rPr>
      <t>2</t>
    </r>
  </si>
  <si>
    <t>acres</t>
  </si>
  <si>
    <t>% impervious</t>
  </si>
  <si>
    <t/>
  </si>
  <si>
    <t>%</t>
  </si>
  <si>
    <t>in</t>
  </si>
  <si>
    <r>
      <t>ft</t>
    </r>
    <r>
      <rPr>
        <vertAlign val="superscript"/>
        <sz val="13"/>
        <rFont val="Arial Narrow"/>
        <family val="2"/>
      </rPr>
      <t>3</t>
    </r>
  </si>
  <si>
    <t>Peak Flow Calculations</t>
  </si>
  <si>
    <t>(unitless)</t>
  </si>
  <si>
    <r>
      <t>ft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/sec</t>
    </r>
  </si>
  <si>
    <t>Elevations</t>
  </si>
  <si>
    <t>fmsl</t>
  </si>
  <si>
    <t>SHWT elevation (approx. at the perm. pool elevation)</t>
  </si>
  <si>
    <t>Top of 10ft vegetated shelf elevation</t>
  </si>
  <si>
    <t>Bottom of 10ft vegetated shelf elevation</t>
  </si>
  <si>
    <t>Sediment cleanout, top elevation (bottom of pond)</t>
  </si>
  <si>
    <t>Sediment cleanout, bottom elevation</t>
  </si>
  <si>
    <t>Sediment storage provided</t>
  </si>
  <si>
    <t>ft</t>
  </si>
  <si>
    <t>Surface Areas</t>
  </si>
  <si>
    <t>Area, temporary pool</t>
  </si>
  <si>
    <t>Area REQUIRED, permanent pool</t>
  </si>
  <si>
    <r>
      <t>Area PROVIDED, permanent pool, A</t>
    </r>
    <r>
      <rPr>
        <vertAlign val="subscript"/>
        <sz val="13"/>
        <rFont val="Arial Narrow"/>
        <family val="2"/>
      </rPr>
      <t>perm_pool</t>
    </r>
  </si>
  <si>
    <t>Volumes</t>
  </si>
  <si>
    <t>Volume, temporary pool</t>
  </si>
  <si>
    <r>
      <t>Volume, permanent pool, V</t>
    </r>
    <r>
      <rPr>
        <vertAlign val="subscript"/>
        <sz val="13"/>
        <rFont val="Arial Narrow"/>
        <family val="2"/>
      </rPr>
      <t>perm_pool</t>
    </r>
  </si>
  <si>
    <t>Volume, forebay (sum of forebays if more than one forebay)</t>
  </si>
  <si>
    <t>Forebay % of permanent pool volume</t>
  </si>
  <si>
    <t>SA/DA Table Data</t>
  </si>
  <si>
    <t>Design TSS removal</t>
  </si>
  <si>
    <t>Drawdown through orifice?</t>
  </si>
  <si>
    <t>Diameter of orifice (if circular)</t>
  </si>
  <si>
    <r>
      <t>in</t>
    </r>
    <r>
      <rPr>
        <vertAlign val="superscript"/>
        <sz val="13"/>
        <rFont val="Arial Narrow"/>
        <family val="2"/>
      </rPr>
      <t>2</t>
    </r>
  </si>
  <si>
    <r>
      <t>Driving head (H</t>
    </r>
    <r>
      <rPr>
        <vertAlign val="subscript"/>
        <sz val="13"/>
        <rFont val="Arial Narrow"/>
        <family val="2"/>
      </rPr>
      <t>o</t>
    </r>
    <r>
      <rPr>
        <sz val="13"/>
        <rFont val="Arial Narrow"/>
        <family val="2"/>
      </rPr>
      <t>)</t>
    </r>
  </si>
  <si>
    <r>
      <t>Cross-sectional area of the circular orifice, A</t>
    </r>
    <r>
      <rPr>
        <vertAlign val="subscript"/>
        <sz val="13"/>
        <rFont val="Arial Narrow"/>
        <family val="2"/>
      </rPr>
      <t>o</t>
    </r>
  </si>
  <si>
    <t>Drawdown through weir?</t>
  </si>
  <si>
    <t>Weir type</t>
  </si>
  <si>
    <t>Length of weir (L)</t>
  </si>
  <si>
    <t>Driving head (H)</t>
  </si>
  <si>
    <t>Storage volume discharge rate (through discharge orifice or weir)</t>
  </si>
  <si>
    <t>Storage volume drawdown time</t>
  </si>
  <si>
    <t>days</t>
  </si>
  <si>
    <t>Additional Information</t>
  </si>
  <si>
    <t>Vegetated side slopes</t>
  </si>
  <si>
    <t>:1</t>
  </si>
  <si>
    <t>Vegetated shelf slope</t>
  </si>
  <si>
    <t>Vegetated shelf width</t>
  </si>
  <si>
    <t>Length of flowpath to width ratio</t>
  </si>
  <si>
    <t>Length to width ratio</t>
  </si>
  <si>
    <t>Trash rack for overflow &amp; orifice?</t>
  </si>
  <si>
    <t>Freeboard provided</t>
  </si>
  <si>
    <t>Recorded drainage easement provided?</t>
  </si>
  <si>
    <t>Capures all runoff at ultimate build-out?</t>
  </si>
  <si>
    <t>Drain mechanism for maintenance or emergencies is:</t>
  </si>
  <si>
    <t>Project within 0.5 miles &amp; draining to SA Waters</t>
  </si>
  <si>
    <t>Yes</t>
  </si>
  <si>
    <t>No</t>
  </si>
  <si>
    <t>Storage Volume</t>
  </si>
  <si>
    <r>
      <t xml:space="preserve">Peak flow from the </t>
    </r>
    <r>
      <rPr>
        <b/>
        <sz val="13"/>
        <rFont val="Arial Narrow"/>
        <family val="2"/>
      </rPr>
      <t>wooded</t>
    </r>
    <r>
      <rPr>
        <sz val="13"/>
        <rFont val="Arial Narrow"/>
        <family val="2"/>
      </rPr>
      <t xml:space="preserve"> 2-year, 24-hour storm</t>
    </r>
  </si>
  <si>
    <t>Peak flow from the post-development 10-yr storm</t>
  </si>
  <si>
    <t>Pre/Post peak flow control</t>
  </si>
  <si>
    <r>
      <t xml:space="preserve">Drainage area </t>
    </r>
    <r>
      <rPr>
        <sz val="10"/>
        <rFont val="Arial Narrow"/>
        <family val="2"/>
      </rPr>
      <t>(Include both on- and off-site areas that flow to the wet pond)</t>
    </r>
  </si>
  <si>
    <r>
      <t xml:space="preserve">Impervious surface area </t>
    </r>
    <r>
      <rPr>
        <sz val="10"/>
        <rFont val="Arial Narrow"/>
        <family val="2"/>
      </rPr>
      <t>(Include both on- and off-site areas that flow to the wet pond)</t>
    </r>
  </si>
  <si>
    <t>Impervious area</t>
  </si>
  <si>
    <t>Rv</t>
  </si>
  <si>
    <r>
      <t xml:space="preserve">Minimum volume required </t>
    </r>
    <r>
      <rPr>
        <sz val="10"/>
        <rFont val="Arial Narrow"/>
        <family val="2"/>
      </rPr>
      <t>(1.5" Rainfall Water Quality Volume)</t>
    </r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</si>
  <si>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</si>
  <si>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t>WET DETENTION BASIN</t>
  </si>
  <si>
    <t>This form must be completely filled out, printed, initialed, and submitted.</t>
  </si>
  <si>
    <r>
      <t xml:space="preserve">Permanent pool elevation </t>
    </r>
    <r>
      <rPr>
        <sz val="10"/>
        <rFont val="Arial Narrow"/>
        <family val="2"/>
      </rPr>
      <t>(Elevation at bottom of orifice)</t>
    </r>
  </si>
  <si>
    <r>
      <t xml:space="preserve">SA/DA ratio </t>
    </r>
    <r>
      <rPr>
        <sz val="10"/>
        <rFont val="Arial Narrow"/>
        <family val="2"/>
      </rPr>
      <t xml:space="preserve">(Refer to the </t>
    </r>
    <r>
      <rPr>
        <i/>
        <sz val="10"/>
        <rFont val="Arial Narrow"/>
        <family val="2"/>
      </rPr>
      <t>Currituck County Stormwater Manual Table IV-2)</t>
    </r>
  </si>
  <si>
    <r>
      <t>Area, bottom of 10ft vegetated shelf, A</t>
    </r>
    <r>
      <rPr>
        <vertAlign val="subscript"/>
        <sz val="13"/>
        <rFont val="Arial Narrow"/>
        <family val="2"/>
      </rPr>
      <t xml:space="preserve">bot_shelf </t>
    </r>
    <r>
      <rPr>
        <sz val="10"/>
        <rFont val="Arial Narrow"/>
        <family val="2"/>
      </rPr>
      <t>(Surface area at the bottom of the 10-foot vegetated shelf; includes main pond and forebay(s))</t>
    </r>
  </si>
  <si>
    <r>
      <t>Area, sediment cleanout, top elevation (bottom of pond), A</t>
    </r>
    <r>
      <rPr>
        <vertAlign val="subscript"/>
        <sz val="13"/>
        <rFont val="Arial Narrow"/>
        <family val="2"/>
      </rPr>
      <t xml:space="preserve">bot_pond </t>
    </r>
    <r>
      <rPr>
        <sz val="10"/>
        <rFont val="Arial Narrow"/>
        <family val="2"/>
      </rPr>
      <t>(Surface area at the bottom of pond excluding sediment storage; do not include forebay(s))</t>
    </r>
  </si>
  <si>
    <r>
      <t xml:space="preserve">Volume provided </t>
    </r>
    <r>
      <rPr>
        <sz val="10"/>
        <rFont val="Arial Narrow"/>
        <family val="2"/>
      </rPr>
      <t>(Temporary pool volume)</t>
    </r>
  </si>
  <si>
    <t>Depth between the bottom of the vegetated shelf and sediment storage</t>
  </si>
  <si>
    <r>
      <t xml:space="preserve">Average depth (used in SA/DA table) </t>
    </r>
    <r>
      <rPr>
        <sz val="10"/>
        <rFont val="Arial Narrow"/>
        <family val="2"/>
      </rPr>
      <t>(Round to nearest 0.5ft)</t>
    </r>
  </si>
  <si>
    <r>
      <t>Coefficient of discharge (C</t>
    </r>
    <r>
      <rPr>
        <vertAlign val="subscript"/>
        <sz val="13"/>
        <rFont val="Arial Narrow"/>
        <family val="2"/>
      </rPr>
      <t>D</t>
    </r>
    <r>
      <rPr>
        <sz val="13"/>
        <rFont val="Arial Narrow"/>
        <family val="2"/>
      </rPr>
      <t xml:space="preserve">) </t>
    </r>
    <r>
      <rPr>
        <sz val="10"/>
        <rFont val="Arial Narrow"/>
        <family val="2"/>
      </rPr>
      <t>(Refer to reference table on next tab)</t>
    </r>
  </si>
  <si>
    <t>Entrance Condition</t>
  </si>
  <si>
    <t>Orifice Coefficients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</si>
  <si>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D</t>
    </r>
  </si>
  <si>
    <t>Typical value</t>
  </si>
  <si>
    <t>Square-edged entrance</t>
  </si>
  <si>
    <t>Concrete pipe, grooved end</t>
  </si>
  <si>
    <t>Corrugated metal pipe, mitred to slope</t>
  </si>
  <si>
    <t>Corrugated metal pipe, projecting from fill</t>
  </si>
  <si>
    <t>Sharp-crested</t>
  </si>
  <si>
    <t>Broad-crested</t>
  </si>
  <si>
    <t>V-notch</t>
  </si>
  <si>
    <t xml:space="preserve">  If V-notch: Weir orientation</t>
  </si>
  <si>
    <t>degrees</t>
  </si>
  <si>
    <r>
      <t>Q</t>
    </r>
    <r>
      <rPr>
        <vertAlign val="subscript"/>
        <sz val="13"/>
        <rFont val="Arial Narrow"/>
        <family val="2"/>
      </rPr>
      <t>orifice</t>
    </r>
  </si>
  <si>
    <r>
      <t xml:space="preserve">Area of orifice (if-non-circular) </t>
    </r>
    <r>
      <rPr>
        <sz val="10"/>
        <rFont val="Arial Narrow"/>
        <family val="2"/>
      </rPr>
      <t>(Only fill out if non-circular orifice is used)</t>
    </r>
  </si>
  <si>
    <r>
      <t>Q</t>
    </r>
    <r>
      <rPr>
        <vertAlign val="subscript"/>
        <sz val="13"/>
        <rFont val="Arial Narrow"/>
        <family val="2"/>
      </rPr>
      <t>weir</t>
    </r>
  </si>
  <si>
    <r>
      <t xml:space="preserve"> Coefficient of discharge (C</t>
    </r>
    <r>
      <rPr>
        <vertAlign val="subscript"/>
        <sz val="13"/>
        <rFont val="Arial Narrow"/>
        <family val="2"/>
      </rPr>
      <t>v</t>
    </r>
    <r>
      <rPr>
        <sz val="13"/>
        <rFont val="Arial Narrow"/>
        <family val="2"/>
      </rPr>
      <t>)</t>
    </r>
  </si>
  <si>
    <r>
      <t>Coefficient of discharge (C</t>
    </r>
    <r>
      <rPr>
        <vertAlign val="subscript"/>
        <sz val="13"/>
        <rFont val="Arial Narrow"/>
        <family val="2"/>
      </rPr>
      <t>w</t>
    </r>
    <r>
      <rPr>
        <sz val="13"/>
        <rFont val="Arial Narrow"/>
        <family val="2"/>
      </rPr>
      <t xml:space="preserve">) </t>
    </r>
    <r>
      <rPr>
        <sz val="10"/>
        <rFont val="Arial Narrow"/>
        <family val="2"/>
      </rPr>
      <t>(Non V-notch weirs)</t>
    </r>
  </si>
  <si>
    <t>Vegetated filter strip provided?</t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</si>
  <si>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</si>
  <si>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</si>
  <si>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</si>
  <si>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</si>
  <si>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</si>
  <si>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>7.  The supporting calculations.</t>
  </si>
  <si>
    <t xml:space="preserve">1.  Plans (1" - 50' or larger) of the entire site showing:
- Design at ultimate build-out,
- Off-site drainage (if applicable),
- Delineated drainage basins (include Rational C or Curve Number, CN per basin),
- Basin dimensions,
- Forebay, 
- High flow bypass system,
- Overflow device,
- Maintenance access, 
- Proposed drainage easement and public right of way (ROW), and
- Boundaries of drainage easement. </t>
  </si>
  <si>
    <t xml:space="preserve">2.  Plan details (1" = 30' or larger) for the wet pond showing:     
- Forebay and main treatment area, 
- High flow bypass system, 
- Outlet structure with trash rack,
- Permanent pool dimensions,
- Emergency spillway, and
- VFS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</si>
  <si>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Section view of the wet pond (1" = 20' or larger) showing:        
- Basin cross section, 
- Side slopes, 3:1 or lower,
- Pretreatment and treatment areas, and
- Inlet and outlet structures.</t>
  </si>
  <si>
    <t>4.  Table of elevations, areas, incremental volumes, and accumulated volumes for overall pond and forebay, to verify volume provided</t>
  </si>
  <si>
    <t>5.  A construction sequence that shows how the wet pond will be protected from sediment until the entire drainage area is stabilized.</t>
  </si>
  <si>
    <t>6.  A detailed planting plan for the vegetated shelf.</t>
  </si>
  <si>
    <t>8. A soils report based on actual field investigations, soil borings, and infiltration tests. County soil maps are not acceptable.</t>
  </si>
  <si>
    <r>
      <t xml:space="preserve">9.  A detailed description for the operation and maintenance of the wet pond. Refer to the </t>
    </r>
    <r>
      <rPr>
        <i/>
        <sz val="12"/>
        <rFont val="Arial Narrow"/>
        <family val="2"/>
      </rPr>
      <t>Currituck County Stormwater Manual Appendix B - Sample Maintenance Plan</t>
    </r>
  </si>
  <si>
    <r>
      <t xml:space="preserve">Temporary pool elevation </t>
    </r>
    <r>
      <rPr>
        <sz val="10"/>
        <rFont val="Arial Narrow"/>
        <family val="2"/>
      </rPr>
      <t>(Refer to figure on next tab for reference)</t>
    </r>
  </si>
  <si>
    <r>
      <t xml:space="preserve">Drawdown Calculations </t>
    </r>
    <r>
      <rPr>
        <b/>
        <sz val="10"/>
        <rFont val="Arial Narrow"/>
        <family val="2"/>
      </rPr>
      <t>(Refer to figure on next tab for reference)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</si>
</sst>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3"/>
      <name val="Arial Narrow"/>
      <family val="2"/>
    </font>
    <font>
      <sz val="10"/>
      <name val="Arial Narrow"/>
      <family val="2"/>
    </font>
    <font>
      <sz val="13"/>
      <color indexed="10"/>
      <name val="Arial Narrow"/>
      <family val="2"/>
    </font>
    <font>
      <vertAlign val="superscript"/>
      <sz val="13"/>
      <name val="Arial Narrow"/>
      <family val="2"/>
    </font>
    <font>
      <b/>
      <sz val="13"/>
      <name val="Arial Narrow"/>
      <family val="2"/>
    </font>
    <font>
      <b/>
      <sz val="18"/>
      <color indexed="18"/>
      <name val="Arial Narrow"/>
      <family val="2"/>
    </font>
    <font>
      <vertAlign val="subscript"/>
      <sz val="13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b/>
      <i/>
      <sz val="14"/>
      <color rgb="FFFF0000"/>
      <name val="Arial Narrow"/>
      <family val="2"/>
    </font>
    <font>
      <i/>
      <sz val="12"/>
      <name val="Arial Narrow"/>
      <family val="2"/>
    </font>
    <font>
      <sz val="12"/>
      <color rgb="FFFF0000"/>
      <name val="Arial Narrow"/>
      <family val="2"/>
    </font>
    <font>
      <sz val="13"/>
      <color rgb="FFFF0000"/>
      <name val="Arial Narrow"/>
      <family val="2"/>
    </font>
    <font>
      <i/>
      <sz val="10"/>
      <name val="Arial Narrow"/>
      <family val="2"/>
    </font>
    <font>
      <b/>
      <vertAlign val="subscript"/>
      <sz val="11"/>
      <color theme="1"/>
      <name val="Calibri"/>
      <family val="2"/>
      <scheme val="minor"/>
    </font>
    <font>
      <b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</cellStyleXfs>
  <cellXfs count="148">
    <xf numFmtId="0" fontId="0" fillId="0" borderId="0" xfId="0"/>
    <xf numFmtId="0" fontId="4" fillId="2" borderId="0" xfId="1" applyFont="1" applyFill="1"/>
    <xf numFmtId="0" fontId="4" fillId="0" borderId="0" xfId="1" applyFont="1"/>
    <xf numFmtId="0" fontId="7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3" fontId="7" fillId="0" borderId="0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4" borderId="0" xfId="1" applyFont="1" applyFill="1" applyAlignment="1">
      <alignment horizont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Fill="1" applyAlignment="1">
      <alignment vertical="center" wrapText="1"/>
    </xf>
    <xf numFmtId="0" fontId="5" fillId="3" borderId="1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4" fillId="5" borderId="0" xfId="1" applyFont="1" applyFill="1" applyAlignment="1">
      <alignment vertical="center" wrapText="1"/>
    </xf>
    <xf numFmtId="0" fontId="4" fillId="5" borderId="0" xfId="1" applyFont="1" applyFill="1" applyAlignment="1">
      <alignment horizontal="center"/>
    </xf>
    <xf numFmtId="0" fontId="4" fillId="5" borderId="2" xfId="1" applyFont="1" applyFill="1" applyBorder="1" applyAlignment="1">
      <alignment vertical="center"/>
    </xf>
    <xf numFmtId="0" fontId="4" fillId="5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5" borderId="0" xfId="1" applyFont="1" applyFill="1" applyBorder="1" applyAlignment="1">
      <alignment vertical="center"/>
    </xf>
    <xf numFmtId="0" fontId="7" fillId="0" borderId="0" xfId="1" applyFont="1" applyAlignment="1">
      <alignment horizontal="left" vertical="center" indent="1"/>
    </xf>
    <xf numFmtId="164" fontId="7" fillId="0" borderId="0" xfId="1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left"/>
    </xf>
    <xf numFmtId="0" fontId="7" fillId="5" borderId="0" xfId="1" applyFont="1" applyFill="1" applyAlignment="1">
      <alignment horizontal="center"/>
    </xf>
    <xf numFmtId="0" fontId="7" fillId="5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 indent="1"/>
    </xf>
    <xf numFmtId="0" fontId="7" fillId="0" borderId="0" xfId="1" applyFont="1" applyAlignment="1">
      <alignment horizontal="left" indent="1"/>
    </xf>
    <xf numFmtId="0" fontId="7" fillId="5" borderId="0" xfId="1" applyFont="1" applyFill="1"/>
    <xf numFmtId="0" fontId="7" fillId="0" borderId="0" xfId="1" applyFont="1" applyFill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Fill="1"/>
    <xf numFmtId="0" fontId="7" fillId="0" borderId="0" xfId="1" applyFont="1" applyAlignment="1">
      <alignment horizontal="left" vertical="center" wrapText="1" indent="1"/>
    </xf>
    <xf numFmtId="3" fontId="7" fillId="0" borderId="4" xfId="1" applyNumberFormat="1" applyFont="1" applyFill="1" applyBorder="1" applyAlignment="1">
      <alignment horizontal="right"/>
    </xf>
    <xf numFmtId="3" fontId="7" fillId="2" borderId="2" xfId="1" applyNumberFormat="1" applyFont="1" applyFill="1" applyBorder="1" applyAlignment="1" applyProtection="1">
      <alignment horizontal="right" vertical="center"/>
      <protection locked="0"/>
    </xf>
    <xf numFmtId="165" fontId="7" fillId="5" borderId="0" xfId="1" applyNumberFormat="1" applyFont="1" applyFill="1" applyBorder="1" applyAlignment="1">
      <alignment horizontal="center" vertical="center"/>
    </xf>
    <xf numFmtId="2" fontId="7" fillId="0" borderId="2" xfId="1" applyNumberFormat="1" applyFont="1" applyBorder="1" applyAlignment="1">
      <alignment horizontal="right" vertical="center"/>
    </xf>
    <xf numFmtId="4" fontId="7" fillId="0" borderId="2" xfId="1" applyNumberFormat="1" applyFont="1" applyFill="1" applyBorder="1" applyAlignment="1">
      <alignment horizontal="right" vertical="center"/>
    </xf>
    <xf numFmtId="0" fontId="7" fillId="5" borderId="0" xfId="1" applyFont="1" applyFill="1" applyBorder="1" applyAlignment="1">
      <alignment horizontal="left" vertical="center" indent="1"/>
    </xf>
    <xf numFmtId="0" fontId="7" fillId="5" borderId="0" xfId="1" applyFont="1" applyFill="1" applyAlignment="1">
      <alignment horizontal="left" vertical="center" indent="2"/>
    </xf>
    <xf numFmtId="0" fontId="7" fillId="0" borderId="0" xfId="1" applyFont="1" applyBorder="1" applyAlignment="1">
      <alignment horizontal="left" vertical="center"/>
    </xf>
    <xf numFmtId="3" fontId="7" fillId="2" borderId="4" xfId="1" applyNumberFormat="1" applyFont="1" applyFill="1" applyBorder="1" applyAlignment="1" applyProtection="1">
      <alignment horizontal="right" vertical="center"/>
      <protection locked="0"/>
    </xf>
    <xf numFmtId="1" fontId="7" fillId="2" borderId="2" xfId="1" applyNumberFormat="1" applyFont="1" applyFill="1" applyBorder="1" applyAlignment="1" applyProtection="1">
      <alignment horizontal="right" vertical="center"/>
      <protection locked="0"/>
    </xf>
    <xf numFmtId="166" fontId="7" fillId="2" borderId="2" xfId="1" applyNumberFormat="1" applyFont="1" applyFill="1" applyBorder="1" applyAlignment="1" applyProtection="1">
      <alignment horizontal="right" vertical="center"/>
      <protection locked="0"/>
    </xf>
    <xf numFmtId="164" fontId="7" fillId="2" borderId="2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right" vertical="center" wrapText="1"/>
    </xf>
    <xf numFmtId="2" fontId="7" fillId="2" borderId="2" xfId="1" applyNumberFormat="1" applyFont="1" applyFill="1" applyBorder="1" applyAlignment="1" applyProtection="1">
      <alignment horizontal="right" vertical="center"/>
      <protection locked="0"/>
    </xf>
    <xf numFmtId="2" fontId="7" fillId="2" borderId="4" xfId="1" applyNumberFormat="1" applyFont="1" applyFill="1" applyBorder="1" applyAlignment="1" applyProtection="1">
      <alignment horizontal="right" vertical="center"/>
      <protection locked="0"/>
    </xf>
    <xf numFmtId="4" fontId="7" fillId="2" borderId="4" xfId="1" applyNumberFormat="1" applyFont="1" applyFill="1" applyBorder="1" applyAlignment="1" applyProtection="1">
      <alignment horizontal="right"/>
      <protection locked="0"/>
    </xf>
    <xf numFmtId="3" fontId="7" fillId="2" borderId="2" xfId="1" applyNumberFormat="1" applyFont="1" applyFill="1" applyBorder="1" applyProtection="1">
      <protection locked="0"/>
    </xf>
    <xf numFmtId="164" fontId="7" fillId="2" borderId="4" xfId="1" applyNumberFormat="1" applyFont="1" applyFill="1" applyBorder="1" applyProtection="1"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2" fontId="7" fillId="2" borderId="4" xfId="1" applyNumberFormat="1" applyFont="1" applyFill="1" applyBorder="1" applyAlignment="1" applyProtection="1">
      <alignment horizontal="right" vertical="center" wrapText="1"/>
      <protection locked="0"/>
    </xf>
    <xf numFmtId="2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1" applyNumberFormat="1" applyFont="1" applyFill="1" applyBorder="1" applyAlignment="1">
      <alignment horizontal="right" vertical="center"/>
    </xf>
    <xf numFmtId="0" fontId="7" fillId="0" borderId="0" xfId="3" applyFont="1" applyAlignment="1">
      <alignment vertical="center" wrapText="1"/>
    </xf>
    <xf numFmtId="164" fontId="7" fillId="2" borderId="4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3" applyFont="1" applyAlignment="1">
      <alignment vertical="center" wrapText="1"/>
    </xf>
    <xf numFmtId="164" fontId="7" fillId="2" borderId="4" xfId="3" applyNumberFormat="1" applyFont="1" applyFill="1" applyBorder="1" applyAlignment="1" applyProtection="1">
      <alignment horizontal="right" vertical="center" wrapText="1"/>
      <protection locked="0"/>
    </xf>
    <xf numFmtId="4" fontId="7" fillId="5" borderId="4" xfId="1" applyNumberFormat="1" applyFont="1" applyFill="1" applyBorder="1" applyAlignment="1" applyProtection="1">
      <alignment horizontal="right" vertical="center"/>
    </xf>
    <xf numFmtId="0" fontId="18" fillId="0" borderId="0" xfId="1" applyFont="1" applyAlignment="1">
      <alignment vertical="center" wrapText="1"/>
    </xf>
    <xf numFmtId="0" fontId="4" fillId="0" borderId="0" xfId="3" applyFont="1" applyAlignment="1">
      <alignment vertical="center" wrapText="1"/>
    </xf>
    <xf numFmtId="3" fontId="7" fillId="0" borderId="4" xfId="1" applyNumberFormat="1" applyFont="1" applyFill="1" applyBorder="1" applyAlignment="1" applyProtection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/>
    </xf>
    <xf numFmtId="0" fontId="0" fillId="0" borderId="0" xfId="0"/>
    <xf numFmtId="0" fontId="4" fillId="0" borderId="0" xfId="3" applyFont="1" applyAlignment="1">
      <alignment vertical="center" wrapText="1"/>
    </xf>
    <xf numFmtId="0" fontId="18" fillId="4" borderId="0" xfId="1" applyFont="1" applyFill="1" applyAlignment="1">
      <alignment horizontal="center"/>
    </xf>
    <xf numFmtId="0" fontId="18" fillId="3" borderId="3" xfId="1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Fill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9" fillId="5" borderId="0" xfId="1" applyFont="1" applyFill="1" applyBorder="1" applyAlignment="1">
      <alignment vertical="center"/>
    </xf>
    <xf numFmtId="0" fontId="19" fillId="0" borderId="0" xfId="1" applyFont="1" applyAlignment="1">
      <alignment vertical="center" wrapText="1"/>
    </xf>
    <xf numFmtId="0" fontId="19" fillId="0" borderId="0" xfId="1" applyFont="1" applyFill="1" applyAlignment="1">
      <alignment vertical="center" wrapText="1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0" xfId="1" applyFont="1" applyFill="1" applyAlignment="1">
      <alignment vertical="center"/>
    </xf>
    <xf numFmtId="0" fontId="19" fillId="0" borderId="0" xfId="1" applyFont="1" applyFill="1"/>
    <xf numFmtId="0" fontId="19" fillId="5" borderId="0" xfId="1" applyFont="1" applyFill="1"/>
    <xf numFmtId="0" fontId="19" fillId="0" borderId="0" xfId="1" applyFont="1" applyAlignment="1">
      <alignment horizontal="left" vertical="center"/>
    </xf>
    <xf numFmtId="0" fontId="1" fillId="0" borderId="0" xfId="0" applyFont="1"/>
    <xf numFmtId="0" fontId="19" fillId="0" borderId="0" xfId="1" applyFont="1" applyBorder="1" applyAlignment="1">
      <alignment vertical="center" wrapText="1"/>
    </xf>
    <xf numFmtId="3" fontId="7" fillId="0" borderId="4" xfId="1" applyNumberFormat="1" applyFont="1" applyFill="1" applyBorder="1" applyAlignment="1" applyProtection="1">
      <alignment horizontal="right" vertical="center"/>
    </xf>
    <xf numFmtId="0" fontId="7" fillId="0" borderId="0" xfId="3" applyFont="1" applyAlignment="1">
      <alignment vertical="center" wrapText="1"/>
    </xf>
    <xf numFmtId="0" fontId="7" fillId="0" borderId="0" xfId="1" applyFont="1" applyAlignment="1">
      <alignment horizontal="left" wrapText="1"/>
    </xf>
    <xf numFmtId="0" fontId="0" fillId="0" borderId="0" xfId="0"/>
    <xf numFmtId="0" fontId="7" fillId="0" borderId="0" xfId="3" applyFont="1" applyAlignment="1">
      <alignment vertical="center" wrapText="1"/>
    </xf>
    <xf numFmtId="3" fontId="7" fillId="2" borderId="2" xfId="1" applyNumberFormat="1" applyFont="1" applyFill="1" applyBorder="1" applyAlignment="1" applyProtection="1">
      <alignment vertical="center"/>
      <protection locked="0"/>
    </xf>
    <xf numFmtId="164" fontId="7" fillId="0" borderId="2" xfId="1" applyNumberFormat="1" applyFont="1" applyFill="1" applyBorder="1" applyAlignment="1">
      <alignment horizontal="right" vertical="center"/>
    </xf>
    <xf numFmtId="4" fontId="7" fillId="0" borderId="4" xfId="1" applyNumberFormat="1" applyFont="1" applyFill="1" applyBorder="1" applyAlignment="1" applyProtection="1">
      <alignment horizontal="right"/>
    </xf>
    <xf numFmtId="0" fontId="19" fillId="0" borderId="0" xfId="1" applyFont="1" applyAlignment="1">
      <alignment vertical="top" wrapText="1"/>
    </xf>
    <xf numFmtId="0" fontId="2" fillId="0" borderId="0" xfId="0" applyFont="1"/>
    <xf numFmtId="2" fontId="0" fillId="0" borderId="0" xfId="0" applyNumberFormat="1"/>
    <xf numFmtId="4" fontId="7" fillId="0" borderId="2" xfId="1" applyNumberFormat="1" applyFont="1" applyFill="1" applyBorder="1" applyAlignment="1" applyProtection="1">
      <alignment horizontal="right" vertical="center"/>
    </xf>
    <xf numFmtId="0" fontId="7" fillId="0" borderId="4" xfId="1" applyFont="1" applyFill="1" applyBorder="1" applyAlignment="1" applyProtection="1">
      <alignment horizontal="center" vertical="center"/>
    </xf>
    <xf numFmtId="4" fontId="7" fillId="0" borderId="2" xfId="1" applyNumberFormat="1" applyFont="1" applyFill="1" applyBorder="1" applyAlignment="1" applyProtection="1">
      <alignment vertical="center"/>
    </xf>
    <xf numFmtId="0" fontId="0" fillId="0" borderId="0" xfId="0"/>
    <xf numFmtId="0" fontId="15" fillId="0" borderId="0" xfId="3"/>
    <xf numFmtId="0" fontId="14" fillId="0" borderId="0" xfId="3" applyFont="1" applyBorder="1"/>
    <xf numFmtId="0" fontId="8" fillId="6" borderId="0" xfId="3" applyFont="1" applyFill="1"/>
    <xf numFmtId="0" fontId="8" fillId="6" borderId="0" xfId="3" applyFont="1" applyFill="1" applyAlignment="1">
      <alignment horizontal="right"/>
    </xf>
    <xf numFmtId="0" fontId="4" fillId="6" borderId="0" xfId="3" applyFont="1" applyFill="1"/>
    <xf numFmtId="0" fontId="7" fillId="6" borderId="0" xfId="3" applyFont="1" applyFill="1" applyAlignment="1">
      <alignment horizontal="left" vertical="center" wrapText="1"/>
    </xf>
    <xf numFmtId="0" fontId="8" fillId="6" borderId="0" xfId="3" applyFont="1" applyFill="1" applyAlignment="1">
      <alignment horizontal="left" vertical="center" wrapText="1"/>
    </xf>
    <xf numFmtId="0" fontId="15" fillId="0" borderId="0" xfId="3" applyAlignment="1">
      <alignment wrapText="1"/>
    </xf>
    <xf numFmtId="0" fontId="5" fillId="3" borderId="1" xfId="3" applyFont="1" applyFill="1" applyBorder="1" applyAlignment="1">
      <alignment wrapText="1"/>
    </xf>
    <xf numFmtId="0" fontId="5" fillId="6" borderId="0" xfId="3" applyFont="1" applyFill="1" applyAlignment="1">
      <alignment wrapText="1"/>
    </xf>
    <xf numFmtId="0" fontId="4" fillId="0" borderId="7" xfId="3" applyFont="1" applyBorder="1" applyAlignment="1">
      <alignment vertical="top"/>
    </xf>
    <xf numFmtId="0" fontId="4" fillId="0" borderId="7" xfId="3" applyFont="1" applyBorder="1" applyAlignment="1"/>
    <xf numFmtId="0" fontId="4" fillId="0" borderId="8" xfId="3" applyFont="1" applyBorder="1" applyAlignment="1"/>
    <xf numFmtId="0" fontId="4" fillId="0" borderId="8" xfId="3" applyFont="1" applyBorder="1" applyAlignment="1">
      <alignment vertical="top"/>
    </xf>
    <xf numFmtId="0" fontId="11" fillId="6" borderId="0" xfId="3" applyFont="1" applyFill="1" applyAlignment="1">
      <alignment horizontal="center" vertical="center"/>
    </xf>
    <xf numFmtId="0" fontId="4" fillId="0" borderId="0" xfId="3" applyFont="1" applyAlignment="1">
      <alignment vertical="top" wrapText="1"/>
    </xf>
    <xf numFmtId="4" fontId="4" fillId="2" borderId="6" xfId="3" applyNumberFormat="1" applyFont="1" applyFill="1" applyBorder="1" applyAlignment="1" applyProtection="1">
      <alignment horizontal="left" vertical="top" wrapText="1"/>
      <protection locked="0"/>
    </xf>
    <xf numFmtId="4" fontId="4" fillId="2" borderId="2" xfId="3" applyNumberFormat="1" applyFont="1" applyFill="1" applyBorder="1" applyAlignment="1" applyProtection="1">
      <alignment horizontal="left" vertical="top" wrapText="1"/>
      <protection locked="0"/>
    </xf>
    <xf numFmtId="4" fontId="7" fillId="0" borderId="0" xfId="1" applyNumberFormat="1" applyFont="1" applyFill="1" applyBorder="1" applyAlignment="1" applyProtection="1">
      <alignment horizontal="right"/>
      <protection locked="0"/>
    </xf>
    <xf numFmtId="2" fontId="7" fillId="0" borderId="4" xfId="1" applyNumberFormat="1" applyFont="1" applyFill="1" applyBorder="1" applyAlignment="1" applyProtection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center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>
      <alignment vertical="top" wrapText="1"/>
    </xf>
    <xf numFmtId="4" fontId="4" fillId="2" borderId="6" xfId="3" applyNumberFormat="1" applyFont="1" applyFill="1" applyBorder="1" applyAlignment="1" applyProtection="1">
      <alignment horizontal="left" vertical="top" wrapText="1"/>
      <protection locked="0"/>
    </xf>
    <xf numFmtId="4" fontId="4" fillId="2" borderId="2" xfId="3" applyNumberFormat="1" applyFont="1" applyFill="1" applyBorder="1" applyAlignment="1" applyProtection="1">
      <alignment horizontal="left" vertical="top" wrapText="1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 applyProtection="1">
      <alignment horizontal="center" vertical="center"/>
      <protection locked="0"/>
    </xf>
    <xf numFmtId="0" fontId="16" fillId="4" borderId="0" xfId="3" applyFont="1" applyFill="1" applyAlignment="1">
      <alignment horizontal="center"/>
    </xf>
    <xf numFmtId="0" fontId="11" fillId="6" borderId="0" xfId="3" applyFont="1" applyFill="1"/>
    <xf numFmtId="0" fontId="7" fillId="6" borderId="0" xfId="3" applyFont="1" applyFill="1" applyAlignment="1">
      <alignment horizontal="left" vertical="center" wrapText="1"/>
    </xf>
    <xf numFmtId="0" fontId="11" fillId="6" borderId="0" xfId="3" applyFont="1" applyFill="1" applyAlignment="1">
      <alignment horizontal="center" vertical="center"/>
    </xf>
    <xf numFmtId="4" fontId="4" fillId="2" borderId="5" xfId="3" applyNumberFormat="1" applyFont="1" applyFill="1" applyBorder="1" applyAlignment="1" applyProtection="1">
      <alignment horizontal="left" vertical="top" wrapText="1"/>
      <protection locked="0"/>
    </xf>
    <xf numFmtId="4" fontId="4" fillId="2" borderId="4" xfId="3" applyNumberFormat="1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>
      <alignment horizontal="center"/>
    </xf>
    <xf numFmtId="0" fontId="7" fillId="2" borderId="4" xfId="1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/>
    </xf>
  </cellXfs>
  <cellStyles count="8">
    <cellStyle name="Normal" xfId="0" builtinId="0"/>
    <cellStyle name="Normal 2" xfId="1"/>
    <cellStyle name="Normal 2 2" xfId="3"/>
    <cellStyle name="Normal 2 3" xfId="6"/>
    <cellStyle name="Normal 2 4" xfId="5"/>
    <cellStyle name="Normal 2 4 2" xfId="7"/>
    <cellStyle name="Normal 3" xfId="2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4</xdr:col>
      <xdr:colOff>342900</xdr:colOff>
      <xdr:row>36</xdr:row>
      <xdr:rowOff>79914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3100"/>
          <a:ext cx="6286500" cy="50329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6</xdr:col>
      <xdr:colOff>557200</xdr:colOff>
      <xdr:row>50</xdr:row>
      <xdr:rowOff>182880</xdr:rowOff>
    </xdr:to>
    <xdr:grpSp>
      <xdr:nvGrpSpPr>
        <xdr:cNvPr id="3" name="Group 2"/>
        <xdr:cNvGrpSpPr/>
      </xdr:nvGrpSpPr>
      <xdr:grpSpPr>
        <a:xfrm>
          <a:off x="0" y="7277100"/>
          <a:ext cx="7720000" cy="2468880"/>
          <a:chOff x="6086475" y="14161634"/>
          <a:chExt cx="7510450" cy="2468880"/>
        </a:xfrm>
      </xdr:grpSpPr>
      <xdr:pic>
        <xdr:nvPicPr>
          <xdr:cNvPr id="4" name="Picture 1"/>
          <xdr:cNvPicPr>
            <a:picLocks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86475" y="14161634"/>
            <a:ext cx="3749040" cy="246888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44072" y="14161634"/>
            <a:ext cx="3752853" cy="246888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topLeftCell="A58" workbookViewId="0">
      <selection activeCell="D58" sqref="D1:D1048576"/>
    </sheetView>
  </sheetViews>
  <sheetFormatPr defaultRowHeight="15" x14ac:dyDescent="0.25"/>
  <cols>
    <col min="1" max="1" width="66.28515625" customWidth="1"/>
    <col min="2" max="2" width="15.42578125" customWidth="1"/>
    <col min="4" max="4" width="9.140625" hidden="1" customWidth="1"/>
    <col min="5" max="5" width="43.5703125" style="92" customWidth="1"/>
    <col min="7" max="7" width="9.140625" hidden="1" customWidth="1"/>
  </cols>
  <sheetData>
    <row r="1" spans="1:8" ht="15.75" x14ac:dyDescent="0.25">
      <c r="A1" s="1" t="s">
        <v>0</v>
      </c>
      <c r="B1" s="12"/>
      <c r="C1" s="13"/>
      <c r="D1" s="23"/>
      <c r="E1" s="72"/>
      <c r="F1" s="2"/>
      <c r="G1" s="2"/>
      <c r="H1" s="2"/>
    </row>
    <row r="2" spans="1:8" ht="18" x14ac:dyDescent="0.25">
      <c r="A2" s="130" t="s">
        <v>1</v>
      </c>
      <c r="B2" s="130"/>
      <c r="C2" s="130"/>
      <c r="D2" s="130"/>
      <c r="E2" s="130"/>
      <c r="F2" s="2"/>
      <c r="G2" s="2"/>
      <c r="H2" s="2"/>
    </row>
    <row r="3" spans="1:8" ht="23.25" x14ac:dyDescent="0.25">
      <c r="A3" s="129" t="s">
        <v>77</v>
      </c>
      <c r="B3" s="129"/>
      <c r="C3" s="129"/>
      <c r="D3" s="129"/>
      <c r="E3" s="129"/>
      <c r="F3" s="4"/>
      <c r="G3" s="4"/>
      <c r="H3" s="4"/>
    </row>
    <row r="4" spans="1:8" ht="18.75" customHeight="1" x14ac:dyDescent="0.25">
      <c r="A4" s="139" t="s">
        <v>78</v>
      </c>
      <c r="B4" s="139"/>
      <c r="C4" s="139"/>
      <c r="D4" s="139"/>
      <c r="E4" s="139"/>
      <c r="F4" s="2"/>
      <c r="G4" s="2"/>
      <c r="H4" s="2"/>
    </row>
    <row r="5" spans="1:8" ht="15.75" x14ac:dyDescent="0.25">
      <c r="A5" s="11"/>
      <c r="B5" s="11"/>
      <c r="C5" s="11"/>
      <c r="D5" s="24"/>
      <c r="E5" s="78"/>
      <c r="F5" s="2"/>
      <c r="G5" s="2"/>
      <c r="H5" s="2"/>
    </row>
    <row r="6" spans="1:8" ht="18" x14ac:dyDescent="0.25">
      <c r="A6" s="14" t="s">
        <v>2</v>
      </c>
      <c r="B6" s="15"/>
      <c r="C6" s="16"/>
      <c r="D6" s="25"/>
      <c r="E6" s="79"/>
      <c r="F6" s="5"/>
      <c r="G6" s="5"/>
      <c r="H6" s="5"/>
    </row>
    <row r="7" spans="1:8" ht="17.25" x14ac:dyDescent="0.25">
      <c r="A7" s="7" t="s">
        <v>3</v>
      </c>
      <c r="B7" s="137"/>
      <c r="C7" s="138"/>
      <c r="D7" s="138"/>
      <c r="E7" s="138"/>
      <c r="F7" s="10"/>
      <c r="G7" s="10"/>
      <c r="H7" s="10"/>
    </row>
    <row r="8" spans="1:8" ht="17.25" x14ac:dyDescent="0.25">
      <c r="A8" s="7" t="s">
        <v>4</v>
      </c>
      <c r="B8" s="131"/>
      <c r="C8" s="132"/>
      <c r="D8" s="132"/>
      <c r="E8" s="132"/>
      <c r="F8" s="10"/>
      <c r="G8" s="10"/>
      <c r="H8" s="10"/>
    </row>
    <row r="9" spans="1:8" ht="17.25" x14ac:dyDescent="0.25">
      <c r="A9" s="7" t="s">
        <v>5</v>
      </c>
      <c r="B9" s="131"/>
      <c r="C9" s="131"/>
      <c r="D9" s="131"/>
      <c r="E9" s="131"/>
      <c r="F9" s="10"/>
      <c r="G9" s="10"/>
      <c r="H9" s="10"/>
    </row>
    <row r="10" spans="1:8" ht="17.25" x14ac:dyDescent="0.25">
      <c r="A10" s="7" t="s">
        <v>6</v>
      </c>
      <c r="B10" s="131"/>
      <c r="C10" s="131"/>
      <c r="D10" s="131"/>
      <c r="E10" s="131"/>
      <c r="F10" s="10"/>
      <c r="G10" s="10" t="s">
        <v>65</v>
      </c>
      <c r="H10" s="10"/>
    </row>
    <row r="11" spans="1:8" ht="17.25" x14ac:dyDescent="0.25">
      <c r="A11" s="95" t="s">
        <v>76</v>
      </c>
      <c r="B11" s="136"/>
      <c r="C11" s="136"/>
      <c r="D11" s="136"/>
      <c r="E11" s="136"/>
      <c r="F11" s="10"/>
      <c r="G11" s="10" t="s">
        <v>66</v>
      </c>
      <c r="H11" s="10"/>
    </row>
    <row r="12" spans="1:8" ht="15.75" x14ac:dyDescent="0.25">
      <c r="A12" s="5"/>
      <c r="B12" s="4"/>
      <c r="C12" s="5"/>
      <c r="D12" s="26"/>
      <c r="E12" s="80"/>
      <c r="F12" s="10"/>
      <c r="G12" s="10"/>
      <c r="H12" s="10"/>
    </row>
    <row r="13" spans="1:8" ht="18" x14ac:dyDescent="0.25">
      <c r="A13" s="14" t="s">
        <v>7</v>
      </c>
      <c r="B13" s="15"/>
      <c r="C13" s="16"/>
      <c r="D13" s="25"/>
      <c r="E13" s="79"/>
      <c r="F13" s="10"/>
      <c r="G13" s="10"/>
      <c r="H13" s="10"/>
    </row>
    <row r="14" spans="1:8" ht="17.25" x14ac:dyDescent="0.25">
      <c r="A14" s="17" t="s">
        <v>8</v>
      </c>
      <c r="B14" s="27"/>
      <c r="C14" s="18"/>
      <c r="D14" s="28"/>
      <c r="E14" s="81"/>
      <c r="F14" s="18"/>
      <c r="G14" s="18"/>
      <c r="H14" s="18"/>
    </row>
    <row r="15" spans="1:8" ht="20.25" customHeight="1" x14ac:dyDescent="0.25">
      <c r="A15" s="73" t="s">
        <v>71</v>
      </c>
      <c r="B15" s="50"/>
      <c r="C15" s="9" t="s">
        <v>10</v>
      </c>
      <c r="D15" s="28"/>
      <c r="E15" s="82"/>
      <c r="F15" s="7"/>
      <c r="G15" s="7"/>
      <c r="H15" s="7"/>
    </row>
    <row r="16" spans="1:8" ht="17.25" hidden="1" x14ac:dyDescent="0.25">
      <c r="A16" s="47" t="s">
        <v>9</v>
      </c>
      <c r="B16" s="71">
        <f>B15/43560</f>
        <v>0</v>
      </c>
      <c r="C16" s="28" t="s">
        <v>11</v>
      </c>
      <c r="D16" s="28"/>
      <c r="E16" s="83"/>
      <c r="F16" s="33"/>
      <c r="G16" s="33"/>
      <c r="H16" s="33"/>
    </row>
    <row r="17" spans="1:8" ht="19.5" x14ac:dyDescent="0.25">
      <c r="A17" s="77" t="s">
        <v>72</v>
      </c>
      <c r="B17" s="43"/>
      <c r="C17" s="9" t="s">
        <v>10</v>
      </c>
      <c r="D17" s="28"/>
      <c r="E17" s="82"/>
      <c r="F17" s="7"/>
      <c r="G17" s="7"/>
      <c r="H17" s="7"/>
    </row>
    <row r="18" spans="1:8" s="76" customFormat="1" ht="17.25" hidden="1" x14ac:dyDescent="0.25">
      <c r="A18" s="47" t="s">
        <v>73</v>
      </c>
      <c r="B18" s="71">
        <f>B17/43560</f>
        <v>0</v>
      </c>
      <c r="C18" s="28" t="s">
        <v>11</v>
      </c>
      <c r="D18" s="28"/>
      <c r="E18" s="83"/>
      <c r="F18" s="33"/>
      <c r="G18" s="33"/>
      <c r="H18" s="33"/>
    </row>
    <row r="19" spans="1:8" ht="17.25" x14ac:dyDescent="0.25">
      <c r="A19" s="18" t="s">
        <v>12</v>
      </c>
      <c r="B19" s="75" t="str">
        <f>IF(B17="","",(B17/B15)*100)</f>
        <v/>
      </c>
      <c r="C19" s="18" t="s">
        <v>14</v>
      </c>
      <c r="D19" s="28"/>
      <c r="E19" s="81"/>
      <c r="F19" s="18"/>
      <c r="G19" s="18"/>
      <c r="H19" s="18"/>
    </row>
    <row r="20" spans="1:8" ht="17.25" x14ac:dyDescent="0.25">
      <c r="A20" s="65" t="s">
        <v>64</v>
      </c>
      <c r="B20" s="66"/>
      <c r="C20" s="9"/>
      <c r="D20" s="28"/>
      <c r="E20" s="84"/>
      <c r="F20" s="19"/>
      <c r="G20" s="7"/>
      <c r="H20" s="7"/>
    </row>
    <row r="21" spans="1:8" s="76" customFormat="1" ht="17.25" hidden="1" x14ac:dyDescent="0.25">
      <c r="A21" s="47" t="s">
        <v>74</v>
      </c>
      <c r="B21" s="71" t="e">
        <f>0.05+0.9*(B18/B16)</f>
        <v>#DIV/0!</v>
      </c>
      <c r="C21" s="28"/>
      <c r="D21" s="28"/>
      <c r="E21" s="84"/>
      <c r="F21" s="19"/>
      <c r="G21" s="67"/>
      <c r="H21" s="67"/>
    </row>
    <row r="22" spans="1:8" ht="17.25" x14ac:dyDescent="0.25">
      <c r="A22" s="7"/>
      <c r="B22" s="20"/>
      <c r="C22" s="9"/>
      <c r="D22" s="28"/>
      <c r="E22" s="82"/>
      <c r="F22" s="19"/>
    </row>
    <row r="23" spans="1:8" s="76" customFormat="1" ht="17.25" x14ac:dyDescent="0.25">
      <c r="A23" s="21" t="s">
        <v>17</v>
      </c>
      <c r="B23" s="20"/>
      <c r="C23" s="9"/>
      <c r="D23" s="28"/>
      <c r="E23" s="82"/>
      <c r="F23" s="19"/>
    </row>
    <row r="24" spans="1:8" s="76" customFormat="1" ht="19.5" x14ac:dyDescent="0.25">
      <c r="A24" s="69" t="s">
        <v>68</v>
      </c>
      <c r="B24" s="43"/>
      <c r="C24" s="9" t="s">
        <v>19</v>
      </c>
      <c r="D24" s="28"/>
      <c r="E24" s="82"/>
      <c r="F24" s="19"/>
    </row>
    <row r="25" spans="1:8" s="76" customFormat="1" ht="19.5" x14ac:dyDescent="0.25">
      <c r="A25" s="69" t="s">
        <v>69</v>
      </c>
      <c r="B25" s="43"/>
      <c r="C25" s="9" t="s">
        <v>19</v>
      </c>
      <c r="D25" s="28"/>
      <c r="E25" s="82"/>
      <c r="F25" s="19"/>
    </row>
    <row r="26" spans="1:8" s="76" customFormat="1" ht="35.25" customHeight="1" x14ac:dyDescent="0.25">
      <c r="A26" s="67" t="s">
        <v>70</v>
      </c>
      <c r="B26" s="46" t="str">
        <f>IF(B25="","",B25-B24)</f>
        <v/>
      </c>
      <c r="C26" s="9" t="s">
        <v>19</v>
      </c>
      <c r="D26" s="28"/>
      <c r="E26" s="93" t="str">
        <f>IF(B26="","","Please provide routing calculations")</f>
        <v/>
      </c>
      <c r="F26" s="19"/>
    </row>
    <row r="27" spans="1:8" s="76" customFormat="1" ht="17.25" x14ac:dyDescent="0.25">
      <c r="A27" s="67"/>
      <c r="B27" s="64"/>
      <c r="C27" s="68"/>
      <c r="D27" s="28"/>
      <c r="E27" s="82"/>
      <c r="F27" s="19"/>
    </row>
    <row r="28" spans="1:8" ht="17.25" x14ac:dyDescent="0.25">
      <c r="A28" s="21" t="s">
        <v>67</v>
      </c>
      <c r="B28" s="8"/>
      <c r="C28" s="9"/>
      <c r="D28" s="28"/>
      <c r="E28" s="82"/>
      <c r="F28" s="19"/>
    </row>
    <row r="29" spans="1:8" ht="19.5" x14ac:dyDescent="0.25">
      <c r="A29" s="38" t="s">
        <v>75</v>
      </c>
      <c r="B29" s="74" t="str">
        <f>IF(B15="","",3630*1.5*B21*B16)</f>
        <v/>
      </c>
      <c r="C29" s="54" t="s">
        <v>16</v>
      </c>
      <c r="D29" s="55"/>
      <c r="E29" s="85"/>
      <c r="F29" s="37"/>
    </row>
    <row r="30" spans="1:8" ht="18.75" customHeight="1" x14ac:dyDescent="0.25">
      <c r="A30" s="67" t="s">
        <v>83</v>
      </c>
      <c r="B30" s="99"/>
      <c r="C30" s="39" t="s">
        <v>16</v>
      </c>
      <c r="D30" s="28"/>
      <c r="E30" s="82" t="str">
        <f>IF(B30="","",IF(B30&lt;B29,"Additional volume required","OK"))</f>
        <v/>
      </c>
      <c r="F30" s="19"/>
    </row>
    <row r="31" spans="1:8" ht="17.25" x14ac:dyDescent="0.25">
      <c r="A31" s="7"/>
      <c r="B31" s="20"/>
      <c r="C31" s="9"/>
      <c r="D31" s="28"/>
      <c r="E31" s="82"/>
      <c r="F31" s="19"/>
    </row>
    <row r="32" spans="1:8" ht="17.25" x14ac:dyDescent="0.25">
      <c r="A32" s="21" t="s">
        <v>20</v>
      </c>
      <c r="B32" s="6"/>
      <c r="C32" s="9"/>
      <c r="D32" s="28"/>
      <c r="E32" s="86"/>
      <c r="F32" s="7"/>
    </row>
    <row r="33" spans="1:6" ht="17.25" x14ac:dyDescent="0.25">
      <c r="A33" s="7" t="s">
        <v>120</v>
      </c>
      <c r="B33" s="56"/>
      <c r="C33" s="9" t="s">
        <v>21</v>
      </c>
      <c r="D33" s="28"/>
      <c r="E33" s="86"/>
      <c r="F33" s="7"/>
    </row>
    <row r="34" spans="1:6" ht="17.25" x14ac:dyDescent="0.25">
      <c r="A34" s="7" t="s">
        <v>79</v>
      </c>
      <c r="B34" s="56"/>
      <c r="C34" s="9" t="s">
        <v>21</v>
      </c>
      <c r="D34" s="28"/>
      <c r="E34" s="86" t="str">
        <f>IF(B34="","",IF(B34-B38&lt;3,"Minimum 3 foot depth required",IF(B34-B38&gt;6,"Maximum 6 foot depth allowed","OK")))</f>
        <v/>
      </c>
      <c r="F34" s="7"/>
    </row>
    <row r="35" spans="1:6" ht="17.25" x14ac:dyDescent="0.25">
      <c r="A35" s="29" t="s">
        <v>22</v>
      </c>
      <c r="B35" s="56"/>
      <c r="C35" s="9" t="s">
        <v>21</v>
      </c>
      <c r="D35" s="28"/>
      <c r="E35" s="86"/>
      <c r="F35" s="7"/>
    </row>
    <row r="36" spans="1:6" ht="17.25" x14ac:dyDescent="0.25">
      <c r="A36" s="7" t="s">
        <v>23</v>
      </c>
      <c r="B36" s="56"/>
      <c r="C36" s="9" t="s">
        <v>21</v>
      </c>
      <c r="D36" s="28"/>
      <c r="E36" s="86"/>
      <c r="F36" s="7"/>
    </row>
    <row r="37" spans="1:6" ht="17.25" x14ac:dyDescent="0.25">
      <c r="A37" s="7" t="s">
        <v>24</v>
      </c>
      <c r="B37" s="57"/>
      <c r="C37" s="9" t="s">
        <v>21</v>
      </c>
      <c r="D37" s="28"/>
      <c r="E37" s="86"/>
      <c r="F37" s="7"/>
    </row>
    <row r="38" spans="1:6" ht="17.25" x14ac:dyDescent="0.25">
      <c r="A38" s="7" t="s">
        <v>25</v>
      </c>
      <c r="B38" s="56"/>
      <c r="C38" s="9" t="s">
        <v>21</v>
      </c>
      <c r="D38" s="28"/>
      <c r="F38" s="7"/>
    </row>
    <row r="39" spans="1:6" ht="17.25" x14ac:dyDescent="0.25">
      <c r="A39" s="7" t="s">
        <v>26</v>
      </c>
      <c r="B39" s="57"/>
      <c r="C39" s="9" t="s">
        <v>21</v>
      </c>
      <c r="D39" s="28"/>
      <c r="E39" s="86" t="s">
        <v>13</v>
      </c>
      <c r="F39" s="7"/>
    </row>
    <row r="40" spans="1:6" ht="17.25" x14ac:dyDescent="0.25">
      <c r="A40" s="7" t="s">
        <v>27</v>
      </c>
      <c r="B40" s="45" t="str">
        <f>IF(B39="","",B38-B39)</f>
        <v/>
      </c>
      <c r="C40" s="9" t="s">
        <v>28</v>
      </c>
      <c r="D40" s="28"/>
      <c r="E40" s="86" t="str">
        <f>IF(B40="","",IF(B40&lt;1,"Minimum depth = 1 foot","OK"))</f>
        <v/>
      </c>
      <c r="F40" s="7"/>
    </row>
    <row r="41" spans="1:6" ht="17.25" x14ac:dyDescent="0.25">
      <c r="A41" s="7"/>
      <c r="B41" s="30"/>
      <c r="C41" s="9"/>
      <c r="D41" s="28"/>
      <c r="E41" s="86"/>
    </row>
    <row r="42" spans="1:6" s="97" customFormat="1" ht="17.25" x14ac:dyDescent="0.25">
      <c r="A42" s="21" t="s">
        <v>38</v>
      </c>
      <c r="B42" s="6"/>
      <c r="C42" s="9"/>
      <c r="D42" s="28"/>
      <c r="E42" s="86"/>
    </row>
    <row r="43" spans="1:6" s="97" customFormat="1" ht="17.25" x14ac:dyDescent="0.3">
      <c r="A43" s="3" t="s">
        <v>39</v>
      </c>
      <c r="B43" s="60"/>
      <c r="C43" s="3" t="s">
        <v>14</v>
      </c>
      <c r="D43" s="32"/>
      <c r="E43" s="87" t="str">
        <f>IF(B43="","",IF(B43&lt;85,"Minimum 85% removal rate required","OK"))</f>
        <v/>
      </c>
    </row>
    <row r="44" spans="1:6" s="97" customFormat="1" ht="17.25" x14ac:dyDescent="0.3">
      <c r="A44" s="35" t="s">
        <v>84</v>
      </c>
      <c r="B44" s="101" t="str">
        <f>IF(B37="","",B37-B38)</f>
        <v/>
      </c>
      <c r="C44" s="3" t="s">
        <v>28</v>
      </c>
      <c r="D44" s="32"/>
      <c r="E44" s="87"/>
    </row>
    <row r="45" spans="1:6" s="97" customFormat="1" ht="17.25" x14ac:dyDescent="0.3">
      <c r="A45" s="3" t="s">
        <v>85</v>
      </c>
      <c r="B45" s="101" t="str">
        <f>IF(B44="","",MROUND(((0.25*(1+(B53/B52)))+((B53+B54)/2)*(B44/B53)),0.5))</f>
        <v/>
      </c>
      <c r="C45" s="3"/>
      <c r="D45" s="32"/>
      <c r="E45" s="87"/>
    </row>
    <row r="46" spans="1:6" s="97" customFormat="1" ht="17.25" x14ac:dyDescent="0.3">
      <c r="A46" s="35" t="s">
        <v>80</v>
      </c>
      <c r="B46" s="58"/>
      <c r="C46" s="3" t="s">
        <v>18</v>
      </c>
      <c r="D46" s="32"/>
      <c r="E46" s="87"/>
    </row>
    <row r="47" spans="1:6" s="108" customFormat="1" ht="17.25" x14ac:dyDescent="0.3">
      <c r="A47" s="35"/>
      <c r="B47" s="127"/>
      <c r="C47" s="3"/>
      <c r="D47" s="32"/>
      <c r="E47" s="87"/>
    </row>
    <row r="48" spans="1:6" ht="17.25" x14ac:dyDescent="0.25">
      <c r="A48" s="21" t="s">
        <v>29</v>
      </c>
      <c r="B48" s="30"/>
      <c r="C48" s="9"/>
      <c r="D48" s="28"/>
      <c r="E48" s="86"/>
    </row>
    <row r="49" spans="1:5" ht="19.5" x14ac:dyDescent="0.3">
      <c r="A49" s="7" t="s">
        <v>30</v>
      </c>
      <c r="B49" s="50"/>
      <c r="C49" s="3" t="s">
        <v>10</v>
      </c>
      <c r="D49" s="28"/>
      <c r="E49" s="86"/>
    </row>
    <row r="50" spans="1:5" ht="19.5" x14ac:dyDescent="0.3">
      <c r="A50" s="31" t="s">
        <v>31</v>
      </c>
      <c r="B50" s="42" t="str">
        <f>IF(B51="","",(B51/100*B15))</f>
        <v/>
      </c>
      <c r="C50" s="3" t="s">
        <v>10</v>
      </c>
      <c r="D50" s="32"/>
      <c r="E50" s="87"/>
    </row>
    <row r="51" spans="1:5" ht="17.25" x14ac:dyDescent="0.3">
      <c r="A51" s="35" t="s">
        <v>80</v>
      </c>
      <c r="B51" s="101" t="str">
        <f>IF(B46="","",B46)</f>
        <v/>
      </c>
      <c r="C51" s="3" t="s">
        <v>18</v>
      </c>
      <c r="D51" s="32"/>
      <c r="E51" s="87"/>
    </row>
    <row r="52" spans="1:5" ht="20.25" x14ac:dyDescent="0.35">
      <c r="A52" s="31" t="s">
        <v>32</v>
      </c>
      <c r="B52" s="59"/>
      <c r="C52" s="3" t="s">
        <v>10</v>
      </c>
      <c r="D52" s="32"/>
      <c r="E52" s="87" t="str">
        <f>IF(B52="","",IF(B52&gt;=B50,"OK","Additional surface area required"))</f>
        <v/>
      </c>
    </row>
    <row r="53" spans="1:5" ht="33" x14ac:dyDescent="0.3">
      <c r="A53" s="96" t="s">
        <v>81</v>
      </c>
      <c r="B53" s="59"/>
      <c r="C53" s="3" t="s">
        <v>10</v>
      </c>
      <c r="D53" s="28"/>
      <c r="E53" s="86"/>
    </row>
    <row r="54" spans="1:5" ht="33" x14ac:dyDescent="0.3">
      <c r="A54" s="96" t="s">
        <v>82</v>
      </c>
      <c r="B54" s="59"/>
      <c r="C54" s="3" t="s">
        <v>10</v>
      </c>
      <c r="D54" s="28"/>
      <c r="E54" s="86"/>
    </row>
    <row r="55" spans="1:5" ht="17.25" x14ac:dyDescent="0.25">
      <c r="A55" s="7"/>
      <c r="B55" s="30"/>
      <c r="C55" s="9"/>
      <c r="D55" s="28"/>
      <c r="E55" s="86"/>
    </row>
    <row r="56" spans="1:5" ht="17.25" x14ac:dyDescent="0.25">
      <c r="A56" s="21" t="s">
        <v>33</v>
      </c>
      <c r="B56" s="30"/>
      <c r="C56" s="9"/>
      <c r="D56" s="28"/>
      <c r="E56" s="86"/>
    </row>
    <row r="57" spans="1:5" ht="19.5" x14ac:dyDescent="0.25">
      <c r="A57" s="7" t="s">
        <v>34</v>
      </c>
      <c r="B57" s="94" t="str">
        <f>IF(B49="","",B49*(B33-B34))</f>
        <v/>
      </c>
      <c r="C57" s="9" t="s">
        <v>16</v>
      </c>
      <c r="D57" s="28"/>
      <c r="E57" s="86" t="str">
        <f>IF(B57="","",IF(B57=B30,"OK","Volumes do not match"))</f>
        <v/>
      </c>
    </row>
    <row r="58" spans="1:5" ht="19.5" x14ac:dyDescent="0.35">
      <c r="A58" s="31" t="s">
        <v>35</v>
      </c>
      <c r="B58" s="94" t="str">
        <f>IF(B50="","",B52*(B34-B38))</f>
        <v/>
      </c>
      <c r="C58" s="9" t="s">
        <v>16</v>
      </c>
      <c r="D58" s="28"/>
      <c r="E58" s="88"/>
    </row>
    <row r="59" spans="1:5" ht="19.5" x14ac:dyDescent="0.25">
      <c r="A59" s="22" t="s">
        <v>36</v>
      </c>
      <c r="B59" s="43"/>
      <c r="C59" s="9" t="s">
        <v>16</v>
      </c>
      <c r="D59" s="28"/>
      <c r="E59" s="88"/>
    </row>
    <row r="60" spans="1:5" ht="39.75" customHeight="1" x14ac:dyDescent="0.25">
      <c r="A60" s="34" t="s">
        <v>37</v>
      </c>
      <c r="B60" s="100" t="str">
        <f>IF(B59="","",(B59/B58)*100)</f>
        <v/>
      </c>
      <c r="C60" s="9" t="s">
        <v>14</v>
      </c>
      <c r="D60" s="28"/>
      <c r="E60" s="85" t="str">
        <f>IF(B60="","",IF(B60&lt;18,"Forebay should be approximately 20% of permanent pool volume",IF(B60&gt;22,"Forebay should be approximately 20% of permanent pool volume","OK")))</f>
        <v/>
      </c>
    </row>
    <row r="61" spans="1:5" ht="17.25" x14ac:dyDescent="0.3">
      <c r="A61" s="3"/>
      <c r="B61" s="3"/>
      <c r="C61" s="3"/>
      <c r="D61" s="32"/>
      <c r="E61" s="87"/>
    </row>
    <row r="62" spans="1:5" ht="17.25" x14ac:dyDescent="0.3">
      <c r="A62" s="21" t="s">
        <v>121</v>
      </c>
      <c r="B62" s="8"/>
      <c r="C62" s="9"/>
      <c r="D62" s="32"/>
      <c r="E62" s="87"/>
    </row>
    <row r="63" spans="1:5" ht="17.25" x14ac:dyDescent="0.3">
      <c r="A63" s="7" t="s">
        <v>40</v>
      </c>
      <c r="B63" s="70"/>
      <c r="C63" s="9"/>
      <c r="D63" s="32">
        <f>IF(B63="Yes",1,0)</f>
        <v>0</v>
      </c>
      <c r="E63" s="87" t="s">
        <v>13</v>
      </c>
    </row>
    <row r="64" spans="1:5" ht="17.25" x14ac:dyDescent="0.3">
      <c r="A64" s="41" t="s">
        <v>41</v>
      </c>
      <c r="B64" s="62"/>
      <c r="C64" s="37" t="s">
        <v>15</v>
      </c>
      <c r="D64" s="32">
        <f>IF(B64="",0,B64/12)</f>
        <v>0</v>
      </c>
      <c r="E64" s="102" t="str">
        <f>IF($B$63="","",IF($B$63="No","Do not fill out this section",""))</f>
        <v/>
      </c>
    </row>
    <row r="65" spans="1:7" ht="19.5" x14ac:dyDescent="0.3">
      <c r="A65" s="41" t="s">
        <v>101</v>
      </c>
      <c r="B65" s="62"/>
      <c r="C65" s="37" t="s">
        <v>42</v>
      </c>
      <c r="D65" s="32">
        <f>IF(B65="",0,B65/12)</f>
        <v>0</v>
      </c>
      <c r="E65" s="102" t="str">
        <f t="shared" ref="E65:E67" si="0">IF($B$63="","",IF($B$63="No","Do not fill out this section",""))</f>
        <v/>
      </c>
    </row>
    <row r="66" spans="1:7" ht="18.75" x14ac:dyDescent="0.3">
      <c r="A66" s="41" t="s">
        <v>86</v>
      </c>
      <c r="B66" s="62"/>
      <c r="C66" s="37" t="s">
        <v>18</v>
      </c>
      <c r="D66" s="32"/>
      <c r="E66" s="102" t="str">
        <f t="shared" si="0"/>
        <v/>
      </c>
      <c r="F66" s="3"/>
    </row>
    <row r="67" spans="1:7" ht="18.75" x14ac:dyDescent="0.3">
      <c r="A67" s="41" t="s">
        <v>43</v>
      </c>
      <c r="B67" s="63"/>
      <c r="C67" s="37" t="s">
        <v>28</v>
      </c>
      <c r="D67" s="32"/>
      <c r="E67" s="102" t="str">
        <f t="shared" si="0"/>
        <v/>
      </c>
      <c r="F67" s="3"/>
    </row>
    <row r="68" spans="1:7" ht="19.5" hidden="1" x14ac:dyDescent="0.3">
      <c r="A68" s="48" t="s">
        <v>44</v>
      </c>
      <c r="B68" s="44">
        <f>PI()*(D64/2)^2</f>
        <v>0</v>
      </c>
      <c r="C68" s="28" t="s">
        <v>10</v>
      </c>
      <c r="D68" s="32"/>
      <c r="E68" s="90"/>
      <c r="F68" s="36"/>
    </row>
    <row r="69" spans="1:7" s="97" customFormat="1" ht="18.75" hidden="1" x14ac:dyDescent="0.3">
      <c r="A69" s="48" t="s">
        <v>100</v>
      </c>
      <c r="B69" s="44">
        <f>IF(D65=0,B66*B68*SQRT(2*32.2*B67),B66*D65*SQRT(2*32.2*B67))</f>
        <v>0</v>
      </c>
      <c r="C69" s="28"/>
      <c r="D69" s="32"/>
      <c r="E69" s="90"/>
      <c r="F69" s="36"/>
    </row>
    <row r="70" spans="1:7" ht="17.25" x14ac:dyDescent="0.3">
      <c r="A70" s="7" t="s">
        <v>45</v>
      </c>
      <c r="B70" s="70"/>
      <c r="C70" s="9"/>
      <c r="D70" s="32">
        <f>IF(B70="Yes",1,0)</f>
        <v>0</v>
      </c>
      <c r="E70" s="87" t="s">
        <v>13</v>
      </c>
      <c r="F70" s="40"/>
    </row>
    <row r="71" spans="1:7" ht="17.25" x14ac:dyDescent="0.3">
      <c r="A71" s="29" t="s">
        <v>46</v>
      </c>
      <c r="B71" s="61"/>
      <c r="C71" s="9"/>
      <c r="D71" s="32">
        <f>IF(B71="",0,IF(B71="Sharp-crested",3.33,IF(B71="Broad-crested",3,D72)))</f>
        <v>0</v>
      </c>
      <c r="E71" s="102" t="str">
        <f>IF($B$70="","",IF($B$70="No","Do not fill out this section",""))</f>
        <v/>
      </c>
      <c r="F71" s="40"/>
      <c r="G71" t="s">
        <v>95</v>
      </c>
    </row>
    <row r="72" spans="1:7" s="97" customFormat="1" ht="17.25" x14ac:dyDescent="0.3">
      <c r="A72" s="29" t="s">
        <v>98</v>
      </c>
      <c r="B72" s="61"/>
      <c r="C72" s="68" t="s">
        <v>99</v>
      </c>
      <c r="D72" s="32">
        <f>IF(B72="",0,IF(B72=90,2.5,IF(B72=60,1.44,1.03)))</f>
        <v>0</v>
      </c>
      <c r="E72" s="102" t="str">
        <f>IF($B$70="","",IF($B$70="No","Do not fill out this section",""))</f>
        <v/>
      </c>
      <c r="F72" s="40"/>
      <c r="G72" t="s">
        <v>96</v>
      </c>
    </row>
    <row r="73" spans="1:7" ht="18.75" x14ac:dyDescent="0.3">
      <c r="A73" s="29" t="s">
        <v>103</v>
      </c>
      <c r="B73" s="106" t="str">
        <f>IF(B72="","",D72)</f>
        <v/>
      </c>
      <c r="C73" s="9" t="s">
        <v>18</v>
      </c>
      <c r="D73" s="32"/>
      <c r="E73" s="102" t="str">
        <f t="shared" ref="E73:E76" si="1">IF($B$70="","",IF($B$70="No","Do not fill out this section",""))</f>
        <v/>
      </c>
      <c r="F73" s="40"/>
      <c r="G73" t="s">
        <v>97</v>
      </c>
    </row>
    <row r="74" spans="1:7" s="97" customFormat="1" ht="18.75" x14ac:dyDescent="0.3">
      <c r="A74" s="29" t="s">
        <v>104</v>
      </c>
      <c r="B74" s="128" t="str">
        <f>IF(B71="","",IF(B71="Sharp-crested",3.33,3))</f>
        <v/>
      </c>
      <c r="C74" s="68"/>
      <c r="D74" s="32"/>
      <c r="E74" s="102" t="str">
        <f t="shared" si="1"/>
        <v/>
      </c>
      <c r="F74" s="40"/>
    </row>
    <row r="75" spans="1:7" ht="17.25" x14ac:dyDescent="0.3">
      <c r="A75" s="29" t="s">
        <v>47</v>
      </c>
      <c r="B75" s="61"/>
      <c r="C75" s="9" t="s">
        <v>28</v>
      </c>
      <c r="D75" s="32"/>
      <c r="E75" s="102" t="str">
        <f t="shared" si="1"/>
        <v/>
      </c>
      <c r="F75" s="40"/>
    </row>
    <row r="76" spans="1:7" ht="17.25" x14ac:dyDescent="0.3">
      <c r="A76" s="29" t="s">
        <v>48</v>
      </c>
      <c r="B76" s="61"/>
      <c r="C76" s="9" t="s">
        <v>28</v>
      </c>
      <c r="D76" s="32"/>
      <c r="E76" s="102" t="str">
        <f t="shared" si="1"/>
        <v/>
      </c>
      <c r="F76" s="40"/>
      <c r="G76">
        <v>90</v>
      </c>
    </row>
    <row r="77" spans="1:7" s="97" customFormat="1" ht="18.75" hidden="1" x14ac:dyDescent="0.3">
      <c r="A77" s="48" t="s">
        <v>102</v>
      </c>
      <c r="B77" s="44" t="e">
        <f>IF(B71="V-notch",B73*(B76)^(5/2),B74*B75*(B76)^1.5)</f>
        <v>#VALUE!</v>
      </c>
      <c r="C77" s="28"/>
      <c r="D77" s="32"/>
      <c r="E77" s="90"/>
      <c r="F77" s="40"/>
      <c r="G77">
        <v>60</v>
      </c>
    </row>
    <row r="78" spans="1:7" ht="19.5" x14ac:dyDescent="0.3">
      <c r="A78" s="98" t="s">
        <v>68</v>
      </c>
      <c r="B78" s="105" t="str">
        <f>IF(B24="","",B24)</f>
        <v/>
      </c>
      <c r="C78" s="22" t="s">
        <v>19</v>
      </c>
      <c r="D78" s="32"/>
      <c r="E78" s="89"/>
      <c r="F78" s="40"/>
      <c r="G78">
        <v>45</v>
      </c>
    </row>
    <row r="79" spans="1:7" ht="19.5" x14ac:dyDescent="0.3">
      <c r="A79" s="98" t="s">
        <v>69</v>
      </c>
      <c r="B79" s="105" t="str">
        <f>IF(B25="","",B25)</f>
        <v/>
      </c>
      <c r="C79" s="18" t="s">
        <v>19</v>
      </c>
      <c r="D79" s="32"/>
      <c r="E79" s="89"/>
      <c r="F79" s="40"/>
    </row>
    <row r="80" spans="1:7" s="97" customFormat="1" ht="19.5" x14ac:dyDescent="0.3">
      <c r="A80" s="67" t="s">
        <v>70</v>
      </c>
      <c r="B80" s="46" t="str">
        <f>IF(B79="","",B79-B78)</f>
        <v/>
      </c>
      <c r="C80" s="68" t="s">
        <v>19</v>
      </c>
      <c r="D80" s="32"/>
      <c r="E80" s="89"/>
      <c r="F80" s="40"/>
    </row>
    <row r="81" spans="1:6" ht="19.5" x14ac:dyDescent="0.3">
      <c r="A81" s="38" t="s">
        <v>49</v>
      </c>
      <c r="B81" s="105" t="str">
        <f>IF(D63=1,B69,IF(D70=1,B77,""))</f>
        <v/>
      </c>
      <c r="C81" s="7" t="s">
        <v>19</v>
      </c>
      <c r="D81" s="32"/>
      <c r="E81" s="84" t="s">
        <v>13</v>
      </c>
      <c r="F81" s="3"/>
    </row>
    <row r="82" spans="1:6" ht="17.25" x14ac:dyDescent="0.3">
      <c r="A82" s="67" t="s">
        <v>50</v>
      </c>
      <c r="B82" s="107" t="str">
        <f>IF(B81="","",(B57/(B81*3600)))</f>
        <v/>
      </c>
      <c r="C82" s="49" t="s">
        <v>51</v>
      </c>
      <c r="D82" s="32"/>
      <c r="E82" s="91" t="str">
        <f>IF(B82="","",IF(B82&lt;2,"Minimum 2 days required",IF(B82&gt;5,"Maximum 5 days required","OK")))</f>
        <v/>
      </c>
      <c r="F82" s="3"/>
    </row>
    <row r="83" spans="1:6" ht="17.25" x14ac:dyDescent="0.3">
      <c r="A83" s="3"/>
      <c r="B83" s="3"/>
      <c r="C83" s="3"/>
      <c r="D83" s="32"/>
      <c r="E83" s="87"/>
    </row>
    <row r="84" spans="1:6" ht="17.25" x14ac:dyDescent="0.25">
      <c r="A84" s="21" t="s">
        <v>52</v>
      </c>
      <c r="B84" s="8"/>
      <c r="C84" s="9"/>
      <c r="D84" s="28"/>
      <c r="E84" s="82"/>
    </row>
    <row r="85" spans="1:6" ht="17.25" x14ac:dyDescent="0.25">
      <c r="A85" s="7" t="s">
        <v>53</v>
      </c>
      <c r="B85" s="50"/>
      <c r="C85" s="9" t="s">
        <v>54</v>
      </c>
      <c r="D85" s="28"/>
      <c r="E85" s="82" t="str">
        <f>IF(B85="","",IF(B85&lt;3,"Minimum 3:1 side slopes required","OK"))</f>
        <v/>
      </c>
    </row>
    <row r="86" spans="1:6" ht="17.25" x14ac:dyDescent="0.25">
      <c r="A86" s="7" t="s">
        <v>55</v>
      </c>
      <c r="B86" s="51"/>
      <c r="C86" s="9" t="s">
        <v>54</v>
      </c>
      <c r="D86" s="28"/>
      <c r="E86" s="82" t="str">
        <f>IF(B86="","",IF(B86&lt;10,"Minimum 10:1 side slopes required","OK"))</f>
        <v/>
      </c>
    </row>
    <row r="87" spans="1:6" ht="17.25" x14ac:dyDescent="0.25">
      <c r="A87" s="7" t="s">
        <v>56</v>
      </c>
      <c r="B87" s="52"/>
      <c r="C87" s="9" t="s">
        <v>28</v>
      </c>
      <c r="D87" s="28"/>
      <c r="E87" s="82" t="str">
        <f>IF(B87="","",IF(B87&lt;10,"Minimum 10 feet required","OK"))</f>
        <v/>
      </c>
    </row>
    <row r="88" spans="1:6" ht="17.25" x14ac:dyDescent="0.25">
      <c r="A88" s="7" t="s">
        <v>57</v>
      </c>
      <c r="B88" s="51"/>
      <c r="C88" s="9" t="s">
        <v>54</v>
      </c>
      <c r="D88" s="28"/>
      <c r="E88" s="82" t="str">
        <f>IF(B88="","",IF(B88&lt;3,"Minimum 3:1 ratio required","OK"))</f>
        <v/>
      </c>
    </row>
    <row r="89" spans="1:6" ht="17.25" x14ac:dyDescent="0.25">
      <c r="A89" s="7" t="s">
        <v>58</v>
      </c>
      <c r="B89" s="53"/>
      <c r="C89" s="9" t="s">
        <v>54</v>
      </c>
      <c r="D89" s="28"/>
      <c r="E89" s="82" t="str">
        <f>IF(B89="","",IF(B89&lt;1.5,"Minimum 1.5:1 ratio required","OK"))</f>
        <v/>
      </c>
    </row>
    <row r="90" spans="1:6" ht="17.25" x14ac:dyDescent="0.25">
      <c r="A90" s="7" t="s">
        <v>59</v>
      </c>
      <c r="B90" s="70"/>
      <c r="C90" s="9"/>
      <c r="D90" s="28"/>
      <c r="E90" s="82" t="str">
        <f>IF(B90="","",IF(B90="No","Trash rack or similar device is required","OK"))</f>
        <v/>
      </c>
    </row>
    <row r="91" spans="1:6" ht="17.25" x14ac:dyDescent="0.25">
      <c r="A91" s="7" t="s">
        <v>60</v>
      </c>
      <c r="B91" s="52"/>
      <c r="C91" s="9" t="s">
        <v>28</v>
      </c>
      <c r="D91" s="28"/>
      <c r="E91" s="82" t="str">
        <f>IF(B91="","",IF(B91&lt;1,"Minimum 1-foot freeboard required","OK"))</f>
        <v/>
      </c>
    </row>
    <row r="92" spans="1:6" ht="17.25" x14ac:dyDescent="0.25">
      <c r="A92" s="7" t="s">
        <v>105</v>
      </c>
      <c r="B92" s="70"/>
      <c r="C92" s="9"/>
      <c r="D92" s="28"/>
      <c r="E92" s="82" t="str">
        <f>IF(B92="","",IF(B92="No","VFS is required","Please provide LS-VFS form"))</f>
        <v/>
      </c>
    </row>
    <row r="93" spans="1:6" ht="17.25" x14ac:dyDescent="0.25">
      <c r="A93" s="7" t="s">
        <v>61</v>
      </c>
      <c r="B93" s="70"/>
      <c r="C93" s="9"/>
      <c r="D93" s="28"/>
      <c r="E93" s="82" t="str">
        <f>IF(B93="","",IF(B93="No","Provide drainage easement","OK"))</f>
        <v/>
      </c>
    </row>
    <row r="94" spans="1:6" ht="17.25" x14ac:dyDescent="0.25">
      <c r="A94" s="7" t="s">
        <v>62</v>
      </c>
      <c r="B94" s="70"/>
      <c r="C94" s="9"/>
      <c r="D94" s="28"/>
      <c r="E94" s="82" t="str">
        <f>IF(B94="","",IF(B94="No","All runoff at ultimate build-out is required to be captured","OK"))</f>
        <v/>
      </c>
    </row>
    <row r="95" spans="1:6" ht="17.25" x14ac:dyDescent="0.25">
      <c r="A95" s="7" t="s">
        <v>63</v>
      </c>
      <c r="B95" s="146"/>
      <c r="C95" s="146"/>
      <c r="D95" s="146"/>
      <c r="E95" s="146"/>
    </row>
    <row r="97" spans="1:5" ht="18" x14ac:dyDescent="0.25">
      <c r="A97" s="117" t="s">
        <v>106</v>
      </c>
      <c r="B97" s="145"/>
      <c r="C97" s="145"/>
      <c r="D97" s="145"/>
      <c r="E97" s="145"/>
    </row>
    <row r="98" spans="1:5" ht="18" x14ac:dyDescent="0.25">
      <c r="A98" s="118"/>
      <c r="B98" s="111"/>
      <c r="C98" s="112"/>
      <c r="D98" s="111"/>
      <c r="E98" s="113"/>
    </row>
    <row r="99" spans="1:5" ht="17.25" x14ac:dyDescent="0.25">
      <c r="A99" s="141" t="s">
        <v>107</v>
      </c>
      <c r="B99" s="141"/>
      <c r="C99" s="141"/>
      <c r="D99" s="141"/>
      <c r="E99" s="114"/>
    </row>
    <row r="100" spans="1:5" ht="17.25" x14ac:dyDescent="0.25">
      <c r="A100" s="114"/>
      <c r="B100" s="115"/>
      <c r="C100" s="115"/>
      <c r="D100" s="115"/>
      <c r="E100" s="113"/>
    </row>
    <row r="101" spans="1:5" ht="17.25" x14ac:dyDescent="0.3">
      <c r="A101" s="140" t="s">
        <v>108</v>
      </c>
      <c r="B101" s="140"/>
      <c r="C101" s="123" t="s">
        <v>109</v>
      </c>
      <c r="D101" s="142" t="s">
        <v>110</v>
      </c>
      <c r="E101" s="142"/>
    </row>
    <row r="102" spans="1:5" ht="182.25" customHeight="1" x14ac:dyDescent="0.25">
      <c r="A102" s="133" t="s">
        <v>112</v>
      </c>
      <c r="B102" s="133"/>
      <c r="C102" s="120"/>
      <c r="D102" s="143"/>
      <c r="E102" s="144"/>
    </row>
    <row r="103" spans="1:5" ht="117.75" customHeight="1" x14ac:dyDescent="0.25">
      <c r="A103" s="133" t="s">
        <v>113</v>
      </c>
      <c r="B103" s="133"/>
      <c r="C103" s="121"/>
      <c r="D103" s="134"/>
      <c r="E103" s="135"/>
    </row>
    <row r="104" spans="1:5" ht="83.25" customHeight="1" x14ac:dyDescent="0.25">
      <c r="A104" s="133" t="s">
        <v>114</v>
      </c>
      <c r="B104" s="133"/>
      <c r="C104" s="120"/>
      <c r="D104" s="134"/>
      <c r="E104" s="135"/>
    </row>
    <row r="105" spans="1:5" ht="41.25" customHeight="1" x14ac:dyDescent="0.25">
      <c r="A105" s="133" t="s">
        <v>115</v>
      </c>
      <c r="B105" s="133"/>
      <c r="C105" s="119"/>
      <c r="D105" s="134"/>
      <c r="E105" s="135"/>
    </row>
    <row r="106" spans="1:5" ht="43.5" customHeight="1" x14ac:dyDescent="0.25">
      <c r="A106" s="133" t="s">
        <v>116</v>
      </c>
      <c r="B106" s="133"/>
      <c r="C106" s="122"/>
      <c r="D106" s="134"/>
      <c r="E106" s="135"/>
    </row>
    <row r="107" spans="1:5" ht="28.5" customHeight="1" x14ac:dyDescent="0.25">
      <c r="A107" s="133" t="s">
        <v>117</v>
      </c>
      <c r="B107" s="133"/>
      <c r="C107" s="122"/>
      <c r="D107" s="134"/>
      <c r="E107" s="135"/>
    </row>
    <row r="108" spans="1:5" ht="25.5" customHeight="1" x14ac:dyDescent="0.25">
      <c r="A108" s="133" t="s">
        <v>111</v>
      </c>
      <c r="B108" s="133"/>
      <c r="C108" s="122"/>
      <c r="D108" s="134"/>
      <c r="E108" s="135"/>
    </row>
    <row r="109" spans="1:5" s="108" customFormat="1" ht="39" customHeight="1" x14ac:dyDescent="0.25">
      <c r="A109" s="124" t="s">
        <v>118</v>
      </c>
      <c r="B109" s="124"/>
      <c r="C109" s="122"/>
      <c r="D109" s="125"/>
      <c r="E109" s="126"/>
    </row>
    <row r="110" spans="1:5" ht="39.75" customHeight="1" x14ac:dyDescent="0.25">
      <c r="A110" s="133" t="s">
        <v>119</v>
      </c>
      <c r="B110" s="133"/>
      <c r="C110" s="122"/>
      <c r="D110" s="134"/>
      <c r="E110" s="135"/>
    </row>
    <row r="111" spans="1:5" ht="16.5" x14ac:dyDescent="0.3">
      <c r="A111" s="116"/>
      <c r="B111" s="109"/>
      <c r="C111" s="109"/>
      <c r="D111" s="110"/>
      <c r="E111" s="109"/>
    </row>
    <row r="112" spans="1:5" ht="16.5" x14ac:dyDescent="0.3">
      <c r="A112" s="116"/>
      <c r="B112" s="109"/>
      <c r="C112" s="109"/>
      <c r="D112" s="110"/>
      <c r="E112" s="109"/>
    </row>
  </sheetData>
  <sheetProtection sheet="1" objects="1" scenarios="1"/>
  <mergeCells count="29">
    <mergeCell ref="A110:B110"/>
    <mergeCell ref="A101:B101"/>
    <mergeCell ref="A99:D99"/>
    <mergeCell ref="A102:B102"/>
    <mergeCell ref="A104:B104"/>
    <mergeCell ref="D101:E101"/>
    <mergeCell ref="D102:E102"/>
    <mergeCell ref="D103:E103"/>
    <mergeCell ref="D110:E110"/>
    <mergeCell ref="D108:E108"/>
    <mergeCell ref="D107:E107"/>
    <mergeCell ref="D106:E106"/>
    <mergeCell ref="D105:E105"/>
    <mergeCell ref="A107:B107"/>
    <mergeCell ref="A103:B103"/>
    <mergeCell ref="A108:B108"/>
    <mergeCell ref="A3:E3"/>
    <mergeCell ref="A2:E2"/>
    <mergeCell ref="B8:E8"/>
    <mergeCell ref="A105:B105"/>
    <mergeCell ref="A106:B106"/>
    <mergeCell ref="D104:E104"/>
    <mergeCell ref="B11:E11"/>
    <mergeCell ref="B7:E7"/>
    <mergeCell ref="B9:E9"/>
    <mergeCell ref="B10:E10"/>
    <mergeCell ref="A4:E4"/>
    <mergeCell ref="B97:E97"/>
    <mergeCell ref="B95:E95"/>
  </mergeCells>
  <dataValidations count="3">
    <dataValidation type="list" allowBlank="1" showInputMessage="1" showErrorMessage="1" sqref="B20 B63 B70 B90 B92:B94">
      <formula1>$G$10:$G$11</formula1>
    </dataValidation>
    <dataValidation type="list" allowBlank="1" showInputMessage="1" showErrorMessage="1" sqref="B71">
      <formula1>$G$71:$G$73</formula1>
    </dataValidation>
    <dataValidation type="list" allowBlank="1" showInputMessage="1" showErrorMessage="1" sqref="B72">
      <formula1>$G$76:$G$78</formula1>
    </dataValidation>
  </dataValidations>
  <pageMargins left="0.7" right="0.7" top="0.75" bottom="0.75" header="0.3" footer="0.3"/>
  <pageSetup orientation="portrait" verticalDpi="0" r:id="rId1"/>
  <ignoredErrors>
    <ignoredError sqref="E9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A2" sqref="A2:B8"/>
    </sheetView>
  </sheetViews>
  <sheetFormatPr defaultRowHeight="15" x14ac:dyDescent="0.25"/>
  <cols>
    <col min="1" max="1" width="61.7109375" customWidth="1"/>
  </cols>
  <sheetData>
    <row r="2" spans="1:2" x14ac:dyDescent="0.25">
      <c r="A2" s="147" t="s">
        <v>88</v>
      </c>
      <c r="B2" s="147"/>
    </row>
    <row r="3" spans="1:2" ht="18" x14ac:dyDescent="0.35">
      <c r="A3" s="103" t="s">
        <v>87</v>
      </c>
      <c r="B3" s="103" t="s">
        <v>89</v>
      </c>
    </row>
    <row r="4" spans="1:2" x14ac:dyDescent="0.25">
      <c r="A4" t="s">
        <v>90</v>
      </c>
      <c r="B4" s="104">
        <v>0.6</v>
      </c>
    </row>
    <row r="5" spans="1:2" x14ac:dyDescent="0.25">
      <c r="A5" t="s">
        <v>91</v>
      </c>
      <c r="B5" s="104">
        <v>0.59</v>
      </c>
    </row>
    <row r="6" spans="1:2" x14ac:dyDescent="0.25">
      <c r="A6" t="s">
        <v>92</v>
      </c>
      <c r="B6" s="104">
        <v>0.65</v>
      </c>
    </row>
    <row r="7" spans="1:2" x14ac:dyDescent="0.25">
      <c r="A7" t="s">
        <v>93</v>
      </c>
      <c r="B7" s="104">
        <v>0.52</v>
      </c>
    </row>
    <row r="8" spans="1:2" x14ac:dyDescent="0.25">
      <c r="A8" t="s">
        <v>94</v>
      </c>
      <c r="B8" s="104">
        <v>1</v>
      </c>
    </row>
  </sheetData>
  <mergeCells count="1"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Entire Form</vt:lpstr>
      <vt:lpstr>Reference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Young, Leah</cp:lastModifiedBy>
  <dcterms:created xsi:type="dcterms:W3CDTF">2011-12-12T15:55:19Z</dcterms:created>
  <dcterms:modified xsi:type="dcterms:W3CDTF">2011-12-12T21:30:48Z</dcterms:modified>
</cp:coreProperties>
</file>