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240" yWindow="240" windowWidth="16275" windowHeight="6855"/>
  </bookViews>
  <sheets>
    <sheet name="Entire Form" sheetId="1" r:id="rId1"/>
    <sheet name="Reference" sheetId="3" r:id="rId2"/>
  </sheets>
  <calcPr calcId="145621"/>
</workbook>
</file>

<file path=xl/calcChain.xml><?xml version="1.0" encoding="utf-8"?>
<calcChain xmlns="http://schemas.openxmlformats.org/spreadsheetml/2006/main">
  <c r="B42" i="1" l="1"/>
  <c r="B35" i="1"/>
  <c r="E33" i="1"/>
  <c r="B19" i="1"/>
  <c r="E35" i="1" l="1"/>
  <c r="D115" i="1"/>
  <c r="D114" i="1"/>
  <c r="D113" i="1"/>
  <c r="D112" i="1"/>
  <c r="E112" i="1" s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6" i="1"/>
  <c r="B92" i="1"/>
  <c r="E92" i="1"/>
  <c r="B83" i="1"/>
  <c r="B84" i="1" s="1"/>
  <c r="B86" i="1" s="1"/>
  <c r="E86" i="1" s="1"/>
  <c r="B80" i="1"/>
  <c r="B76" i="1"/>
  <c r="B62" i="1"/>
  <c r="E79" i="1"/>
  <c r="B79" i="1"/>
  <c r="E74" i="1"/>
  <c r="B74" i="1"/>
  <c r="E63" i="1"/>
  <c r="B61" i="1"/>
  <c r="B60" i="1"/>
  <c r="E59" i="1" s="1"/>
  <c r="B58" i="1"/>
  <c r="B57" i="1"/>
  <c r="E56" i="1" s="1"/>
  <c r="B54" i="1"/>
  <c r="B55" i="1"/>
  <c r="E53" i="1" s="1"/>
  <c r="E51" i="1"/>
  <c r="E49" i="1"/>
  <c r="E46" i="1"/>
  <c r="E45" i="1"/>
  <c r="E41" i="1"/>
  <c r="E39" i="1"/>
  <c r="E37" i="1"/>
  <c r="B36" i="1"/>
  <c r="E78" i="1" l="1"/>
  <c r="E73" i="1"/>
  <c r="B47" i="1" l="1"/>
  <c r="B34" i="1"/>
  <c r="B26" i="1"/>
  <c r="E26" i="1" s="1"/>
  <c r="B18" i="1"/>
  <c r="B16" i="1"/>
  <c r="B21" i="1" l="1"/>
  <c r="B29" i="1" s="1"/>
  <c r="E30" i="1" s="1"/>
  <c r="B69" i="1"/>
  <c r="E68" i="1" s="1"/>
  <c r="B71" i="1"/>
  <c r="E70" i="1" s="1"/>
</calcChain>
</file>

<file path=xl/sharedStrings.xml><?xml version="1.0" encoding="utf-8"?>
<sst xmlns="http://schemas.openxmlformats.org/spreadsheetml/2006/main" count="164" uniqueCount="120">
  <si>
    <t>Please complete the yellow shaded items.</t>
  </si>
  <si>
    <t>STORMWATER MANAGEMENT PERMIT APPLICATION FORM</t>
  </si>
  <si>
    <t>I.  PROJECT INFORMATION</t>
  </si>
  <si>
    <t>Project name</t>
  </si>
  <si>
    <t>Contact name</t>
  </si>
  <si>
    <t>Phone number</t>
  </si>
  <si>
    <t>Date</t>
  </si>
  <si>
    <t>II.  DESIGN INFORMATION</t>
  </si>
  <si>
    <t>Site Characteristics</t>
  </si>
  <si>
    <t>Drainage area</t>
  </si>
  <si>
    <t>Impervious area</t>
  </si>
  <si>
    <t>Percent impervious</t>
  </si>
  <si>
    <t>%</t>
  </si>
  <si>
    <t>Peak Flow Calculations</t>
  </si>
  <si>
    <t>(Y or N)</t>
  </si>
  <si>
    <t>in/hr</t>
  </si>
  <si>
    <t>Volume provided</t>
  </si>
  <si>
    <t>Cell Dimensions</t>
  </si>
  <si>
    <t>Ponding depth of water</t>
  </si>
  <si>
    <t>inches</t>
  </si>
  <si>
    <t>ft</t>
  </si>
  <si>
    <t>Media and Soils Summary</t>
  </si>
  <si>
    <t>hr</t>
  </si>
  <si>
    <t>Drawdown time, total:</t>
  </si>
  <si>
    <t>In-situ soil:</t>
  </si>
  <si>
    <t>Planting media soil:</t>
  </si>
  <si>
    <t>Soil composition</t>
  </si>
  <si>
    <t>Total:</t>
  </si>
  <si>
    <t>(unitless)</t>
  </si>
  <si>
    <t>Basin Elevations</t>
  </si>
  <si>
    <t>fmsl</t>
  </si>
  <si>
    <t>Type of bioretention cell (answer "Y" to only one of the two following questions):</t>
  </si>
  <si>
    <t>Bottom of the planting media soil</t>
  </si>
  <si>
    <t>Planting media depth</t>
  </si>
  <si>
    <t>Are underdrains being installed?</t>
  </si>
  <si>
    <t xml:space="preserve"> </t>
  </si>
  <si>
    <t>Additional distance between the bottom of the planting media and the bottom of the cell to account for underdrains</t>
  </si>
  <si>
    <t>Distance from bottom to SHWT</t>
  </si>
  <si>
    <t>Internal Water Storage Zone (IWS)</t>
  </si>
  <si>
    <t>Does the design include IWS</t>
  </si>
  <si>
    <t>Elevation of the top of the upturned elbow</t>
  </si>
  <si>
    <t>Separation of IWS and Surface</t>
  </si>
  <si>
    <t>Planting Plan</t>
  </si>
  <si>
    <t>Additional Information</t>
  </si>
  <si>
    <t>Does volume in excess of the design volume bypass the bioretention cell?</t>
  </si>
  <si>
    <t xml:space="preserve">ft </t>
  </si>
  <si>
    <t>Does the design use a level spreader to evenly distribute flow?</t>
  </si>
  <si>
    <t>Is the BMP located at least 30 feet from surface waters (50 feet if SA waters)?</t>
  </si>
  <si>
    <t>Is the BMP localed at least 100 feet from water supply wells?</t>
  </si>
  <si>
    <t>Are the vegetated side slopes equal to or less than 3:1?</t>
  </si>
  <si>
    <t>Is the BMP located in a proposed drainage easement with access to a public Right of Way (ROW)?</t>
  </si>
  <si>
    <t>ft/sec</t>
  </si>
  <si>
    <t>Is the drainage area permanently stabilized?</t>
  </si>
  <si>
    <t>Pretreatment Used
(Indicate Type Used with an "X" in the shaded cell)</t>
  </si>
  <si>
    <t>Grassed swale</t>
  </si>
  <si>
    <t>Forebay</t>
  </si>
  <si>
    <t xml:space="preserve">   Other</t>
  </si>
  <si>
    <r>
      <t>ft</t>
    </r>
    <r>
      <rPr>
        <vertAlign val="superscript"/>
        <sz val="13"/>
        <rFont val="Arial Narrow"/>
        <family val="2"/>
      </rPr>
      <t>2</t>
    </r>
  </si>
  <si>
    <t>acres</t>
  </si>
  <si>
    <t/>
  </si>
  <si>
    <r>
      <t>ft</t>
    </r>
    <r>
      <rPr>
        <vertAlign val="superscript"/>
        <sz val="13"/>
        <rFont val="Arial Narrow"/>
        <family val="2"/>
      </rPr>
      <t>3</t>
    </r>
    <r>
      <rPr>
        <sz val="13"/>
        <rFont val="Arial Narrow"/>
        <family val="2"/>
      </rPr>
      <t>/sec</t>
    </r>
  </si>
  <si>
    <r>
      <t>ft</t>
    </r>
    <r>
      <rPr>
        <vertAlign val="superscript"/>
        <sz val="13"/>
        <rFont val="Arial Narrow"/>
        <family val="2"/>
      </rPr>
      <t>3</t>
    </r>
  </si>
  <si>
    <r>
      <t>Gravel and grass
(8</t>
    </r>
    <r>
      <rPr>
        <vertAlign val="superscript"/>
        <sz val="13"/>
        <rFont val="Arial Narrow"/>
        <family val="2"/>
      </rPr>
      <t>+</t>
    </r>
    <r>
      <rPr>
        <sz val="13"/>
        <rFont val="Arial Narrow"/>
        <family val="2"/>
      </rPr>
      <t>inches gravel followed by 3-5 ft of grass)</t>
    </r>
  </si>
  <si>
    <t>This form must be completely filled out, printed, initialed, and submitted.</t>
  </si>
  <si>
    <t>BIORETENTION CELL</t>
  </si>
  <si>
    <r>
      <t xml:space="preserve">Drainage area number </t>
    </r>
    <r>
      <rPr>
        <sz val="10"/>
        <rFont val="Arial Narrow"/>
        <family val="2"/>
      </rPr>
      <t>(for projects with multiple drainage areas, as labeled on plans)</t>
    </r>
  </si>
  <si>
    <r>
      <t xml:space="preserve">Pre-development </t>
    </r>
    <r>
      <rPr>
        <b/>
        <sz val="13"/>
        <rFont val="Arial Narrow"/>
        <family val="2"/>
      </rPr>
      <t>wooded</t>
    </r>
    <r>
      <rPr>
        <sz val="13"/>
        <rFont val="Arial Narrow"/>
        <family val="2"/>
      </rPr>
      <t xml:space="preserve"> 2-yr, 24-hr peak flow</t>
    </r>
  </si>
  <si>
    <t>Post-development 10-yr, 24-hr peak flow</t>
  </si>
  <si>
    <t>Pre/Post peak control</t>
  </si>
  <si>
    <r>
      <t xml:space="preserve">Ponding depth of water </t>
    </r>
    <r>
      <rPr>
        <sz val="10"/>
        <rFont val="Arial Narrow"/>
        <family val="2"/>
      </rPr>
      <t>(between 9-12 inches)</t>
    </r>
  </si>
  <si>
    <r>
      <t xml:space="preserve">Surface area of the top of the bioretention cell </t>
    </r>
    <r>
      <rPr>
        <sz val="10"/>
        <rFont val="Arial Narrow"/>
        <family val="2"/>
      </rPr>
      <t>(Equal to the design volume divided by the ponding depth)</t>
    </r>
  </si>
  <si>
    <r>
      <t xml:space="preserve">Length </t>
    </r>
    <r>
      <rPr>
        <sz val="10"/>
        <rFont val="Arial Narrow"/>
        <family val="2"/>
      </rPr>
      <t>(must be at least 10 feet)</t>
    </r>
    <r>
      <rPr>
        <sz val="13"/>
        <rFont val="Arial Narrow"/>
        <family val="2"/>
      </rPr>
      <t>:</t>
    </r>
  </si>
  <si>
    <r>
      <t xml:space="preserve">Width </t>
    </r>
    <r>
      <rPr>
        <sz val="10"/>
        <rFont val="Arial Narrow"/>
        <family val="2"/>
      </rPr>
      <t>(must be at least 10 feet)</t>
    </r>
    <r>
      <rPr>
        <sz val="13"/>
        <rFont val="Arial Narrow"/>
        <family val="2"/>
      </rPr>
      <t>:</t>
    </r>
  </si>
  <si>
    <r>
      <t xml:space="preserve"> -or- Radius </t>
    </r>
    <r>
      <rPr>
        <sz val="10"/>
        <rFont val="Arial Narrow"/>
        <family val="2"/>
      </rPr>
      <t>(must be at least 10 feet)</t>
    </r>
    <r>
      <rPr>
        <sz val="13"/>
        <rFont val="Arial Narrow"/>
        <family val="2"/>
      </rPr>
      <t>:</t>
    </r>
  </si>
  <si>
    <r>
      <t xml:space="preserve">Drawdown time, ponded volume </t>
    </r>
    <r>
      <rPr>
        <sz val="10"/>
        <rFont val="Arial Narrow"/>
        <family val="2"/>
      </rPr>
      <t>(Max 12 hours)</t>
    </r>
  </si>
  <si>
    <r>
      <t xml:space="preserve">Drawdown time, to 24 inches below surface </t>
    </r>
    <r>
      <rPr>
        <sz val="10"/>
        <rFont val="Arial Narrow"/>
        <family val="2"/>
      </rPr>
      <t>(Between 12 - 24 hours)</t>
    </r>
  </si>
  <si>
    <r>
      <t xml:space="preserve">Soil permeability </t>
    </r>
    <r>
      <rPr>
        <sz val="10"/>
        <rFont val="Arial Narrow"/>
        <family val="2"/>
      </rPr>
      <t>(Most restrictive soil layer; Underdrains needed if infiltration is less than 0.52 in/hr)</t>
    </r>
  </si>
  <si>
    <r>
      <t xml:space="preserve">Soil permeability </t>
    </r>
    <r>
      <rPr>
        <sz val="10"/>
        <rFont val="Arial Narrow"/>
        <family val="2"/>
      </rPr>
      <t>(0.52 - 6.0 in/hr is required; 1-2 in/hr is preferred)</t>
    </r>
  </si>
  <si>
    <r>
      <t xml:space="preserve">% Sand (by volume) </t>
    </r>
    <r>
      <rPr>
        <sz val="10"/>
        <rFont val="Arial Narrow"/>
        <family val="2"/>
      </rPr>
      <t>(85-88%)</t>
    </r>
  </si>
  <si>
    <r>
      <t xml:space="preserve">% Fines (by volume) </t>
    </r>
    <r>
      <rPr>
        <sz val="10"/>
        <rFont val="Arial Narrow"/>
        <family val="2"/>
      </rPr>
      <t>(8-12% silt &amp; clay;
If TN is target pollutant: Recommend 12%
If TP is target pollutant: Recommend 8%)</t>
    </r>
  </si>
  <si>
    <r>
      <t xml:space="preserve">% Organic (by volume) </t>
    </r>
    <r>
      <rPr>
        <sz val="10"/>
        <rFont val="Arial Narrow"/>
        <family val="2"/>
      </rPr>
      <t>(3-5%)</t>
    </r>
  </si>
  <si>
    <r>
      <t xml:space="preserve">Phosphorus Index (P-Index) of media </t>
    </r>
    <r>
      <rPr>
        <sz val="10"/>
        <rFont val="Arial Narrow"/>
        <family val="2"/>
      </rPr>
      <t>(Installed Media must have a P-index between 10 - 30)</t>
    </r>
  </si>
  <si>
    <r>
      <t>Temporary pool elevation</t>
    </r>
    <r>
      <rPr>
        <sz val="10"/>
        <rFont val="Arial Narrow"/>
        <family val="2"/>
      </rPr>
      <t xml:space="preserve"> (Elevation of bypass/outlet structure; Equal to the elevation of the planting elevation plus ponding depth)</t>
    </r>
  </si>
  <si>
    <r>
      <t xml:space="preserve">Is this a grassed cell? </t>
    </r>
    <r>
      <rPr>
        <sz val="10"/>
        <rFont val="Arial Narrow"/>
        <family val="2"/>
      </rPr>
      <t>(Planting depth &gt;= 2 ft)</t>
    </r>
  </si>
  <si>
    <r>
      <t>Is this a cell with trees/shrubs?</t>
    </r>
    <r>
      <rPr>
        <sz val="10"/>
        <rFont val="Arial Narrow"/>
        <family val="2"/>
      </rPr>
      <t xml:space="preserve"> (Planting depth &gt;= 3 ft)</t>
    </r>
  </si>
  <si>
    <r>
      <t xml:space="preserve">Planting elevation </t>
    </r>
    <r>
      <rPr>
        <sz val="10"/>
        <rFont val="Arial Narrow"/>
        <family val="2"/>
      </rPr>
      <t>(top of the mulch or grass sod layer)</t>
    </r>
  </si>
  <si>
    <r>
      <t xml:space="preserve">Depth of mulch </t>
    </r>
    <r>
      <rPr>
        <sz val="10"/>
        <rFont val="Arial Narrow"/>
        <family val="2"/>
      </rPr>
      <t>(2-4 inches deep; Do not use if grassed cell)</t>
    </r>
  </si>
  <si>
    <r>
      <t xml:space="preserve">Depth of washed sand below planting media soil </t>
    </r>
    <r>
      <rPr>
        <sz val="10"/>
        <rFont val="Arial Narrow"/>
        <family val="2"/>
      </rPr>
      <t>(4" of washed sand may be used between the planting media and the filter fabric or choking stone)</t>
    </r>
  </si>
  <si>
    <t>What factor of safety is used for sizing the underdrains? (See NC DWQ Stormwater BMP Manual Section 12.3.6)</t>
  </si>
  <si>
    <r>
      <t xml:space="preserve">Bottom of the cell required </t>
    </r>
    <r>
      <rPr>
        <sz val="10"/>
        <rFont val="Arial Narrow"/>
        <family val="2"/>
      </rPr>
      <t>(Includes mulch, planting media, washed sand layer (if applicable), and underdrain)</t>
    </r>
  </si>
  <si>
    <r>
      <t xml:space="preserve">SHWT elevation </t>
    </r>
    <r>
      <rPr>
        <sz val="10"/>
        <rFont val="Arial Narrow"/>
        <family val="2"/>
      </rPr>
      <t>(Must be at least 2 feet below bottom)</t>
    </r>
  </si>
  <si>
    <r>
      <t xml:space="preserve">Number of shrub species </t>
    </r>
    <r>
      <rPr>
        <sz val="10"/>
        <rFont val="Arial Narrow"/>
        <family val="2"/>
      </rPr>
      <t>(3 or more species are ideal; but don’t overcrowd. No shrubs are used for grassed cells)</t>
    </r>
  </si>
  <si>
    <r>
      <t xml:space="preserve">Number of tree species </t>
    </r>
    <r>
      <rPr>
        <sz val="10"/>
        <rFont val="Arial Narrow"/>
        <family val="2"/>
      </rPr>
      <t>(At least 1-2 species are ideal, but not so much that it is overcrowded. No trees are used for grassed cells)</t>
    </r>
  </si>
  <si>
    <r>
      <t xml:space="preserve">Number of herbaceous groundcover species </t>
    </r>
    <r>
      <rPr>
        <sz val="10"/>
        <rFont val="Arial Narrow"/>
        <family val="2"/>
      </rPr>
      <t>(3 or more species are ideal; but don't overcrowd. Only grassed sod should be used in grass cells)</t>
    </r>
  </si>
  <si>
    <r>
      <t>What is the length of the vegetated filter?</t>
    </r>
    <r>
      <rPr>
        <sz val="10"/>
        <rFont val="Arial Narrow"/>
        <family val="2"/>
      </rPr>
      <t xml:space="preserve"> (Please submit LS-VFS design form)</t>
    </r>
  </si>
  <si>
    <r>
      <t xml:space="preserve">Inlet velocity from treatment system </t>
    </r>
    <r>
      <rPr>
        <sz val="10"/>
        <rFont val="Arial Narrow"/>
        <family val="2"/>
      </rPr>
      <t>(For mulch cells, must be less than 1 ft/sec unless energy dissipators are used)</t>
    </r>
  </si>
  <si>
    <r>
      <t xml:space="preserve">Is the area surrounding the cell likely to undergo development in the future? </t>
    </r>
    <r>
      <rPr>
        <sz val="10"/>
        <rFont val="Arial Narrow"/>
        <family val="2"/>
      </rPr>
      <t>(Additional erosion control measures may be needed to protect the cell from excessive sediment loading)</t>
    </r>
  </si>
  <si>
    <r>
      <t xml:space="preserve">Are the slopes draining to the bioretention cell greater than 20%? </t>
    </r>
    <r>
      <rPr>
        <sz val="10"/>
        <rFont val="Arial Narrow"/>
        <family val="2"/>
      </rPr>
      <t>(Slopes must be less than 20%)</t>
    </r>
  </si>
  <si>
    <t>III.  REQUIRED ITEMS CHECKLIST</t>
  </si>
  <si>
    <r>
      <t xml:space="preserve">EDIT Please indicate the page or plan sheet numbers where the supporting documentation can be found.  </t>
    </r>
    <r>
      <rPr>
        <b/>
        <sz val="13"/>
        <rFont val="Arial Narrow"/>
        <family val="2"/>
      </rPr>
      <t>An incomplete submittal package will result in a request for additional information.  This will delay final review and approval of the project.</t>
    </r>
    <r>
      <rPr>
        <sz val="13"/>
        <rFont val="Arial Narrow"/>
        <family val="2"/>
      </rPr>
      <t xml:space="preserve">  Initial in the space provided to indicate the following design requirements have been met.  If the applicant has designated an agent, the agent may initial below.  </t>
    </r>
    <r>
      <rPr>
        <b/>
        <sz val="13"/>
        <rFont val="Arial Narrow"/>
        <family val="2"/>
      </rPr>
      <t>If a requirement has not been met, attach justification.</t>
    </r>
  </si>
  <si>
    <t>Requried Item:</t>
  </si>
  <si>
    <t>Initials</t>
  </si>
  <si>
    <t>7.  The supporting calculations.</t>
  </si>
  <si>
    <t xml:space="preserve">1.  Plans (1" - 50' or larger) of the entire site showing:
- Design at ultimate build-out,
- Off-site drainage (if applicable),
- Delineated drainage basins (include Rational C or Curve Number, CN per basin),
- Cell dimensions, 
- Pretreatment system,
- High flow bypass system,
- Clean out locations,
- Overflow devices, 
- Maintenance access, 
- Proposed drainage easement and public right of way (ROW), and
- Boundaries of drainage easement. </t>
  </si>
  <si>
    <t>4.  A soils report that is based on actual field investigations, soil borings, and infiltration tests.</t>
  </si>
  <si>
    <r>
      <t xml:space="preserve">8.  A detailed description for the operation and maintenance of the bioretention cell. Refer to the </t>
    </r>
    <r>
      <rPr>
        <i/>
        <sz val="12"/>
        <rFont val="Arial Narrow"/>
        <family val="2"/>
      </rPr>
      <t>Currituck County Stormwater Manual Appendix B - Sample Maintenance Plan</t>
    </r>
  </si>
  <si>
    <t>5.   A detailed planting plan (1" = 20' or larger) prepared by a qualified individual showing:
- A variety of suitable species
- Sizes, spacing, and locations of plants,
- Total quantity of each type of plant
- A planting detail,
- The source nursery for plants, and
- Fertilizer and watering requirements to establish vegetation</t>
  </si>
  <si>
    <t>6.  A construction sequence that shows how the bioretention cell will be protected from sediment until the entire drainage area is stabilized.</t>
  </si>
  <si>
    <r>
      <t xml:space="preserve">Drainage area </t>
    </r>
    <r>
      <rPr>
        <sz val="10"/>
        <rFont val="Arial Narrow"/>
        <family val="2"/>
      </rPr>
      <t>(Include both on- and off-site areas that flow to the bioretention cell)</t>
    </r>
  </si>
  <si>
    <t xml:space="preserve">2.  Plan details (1" = 30' or larger) for the bioretention cell showing:     
- Cell dimensions, 
- High flow bypass system,  
- Clean outs,
- Overflow devices, and
- Indicate the P-Index between 10 and 30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</si>
  <si>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  Section view of the bioretention cell (1" = 20' or larger) showing:        
- Underdrain system (if applicable), 
- Side slopes, and
- Bioretention cell layers</t>
  </si>
  <si>
    <t>Project within 0.5 miles &amp; draining to SA Waters</t>
  </si>
  <si>
    <t>Yes</t>
  </si>
  <si>
    <t>No</t>
  </si>
  <si>
    <t>Does volume in excess of the design volume flow evenly distributed through a vegetated filter strip?</t>
  </si>
  <si>
    <r>
      <t xml:space="preserve">Number Clean out pipes required? </t>
    </r>
    <r>
      <rPr>
        <sz val="10"/>
        <rFont val="Arial Narrow"/>
        <family val="2"/>
      </rPr>
      <t>(Minimum 1 per 1,000 sq ft)</t>
    </r>
  </si>
  <si>
    <t>Storage Volume</t>
  </si>
  <si>
    <t>Rv</t>
  </si>
  <si>
    <r>
      <t xml:space="preserve">Minimum volume required </t>
    </r>
    <r>
      <rPr>
        <sz val="10"/>
        <rFont val="Arial Narrow"/>
        <family val="2"/>
      </rPr>
      <t>(1.5" Rainfall Water Quality Volume)</t>
    </r>
  </si>
  <si>
    <t>Area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</si>
</sst>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d\,\ yyyy"/>
  </numFmts>
  <fonts count="19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sz val="10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sz val="13"/>
      <name val="Arial Narrow"/>
      <family val="2"/>
    </font>
    <font>
      <b/>
      <sz val="13"/>
      <name val="Arial Narrow"/>
      <family val="2"/>
    </font>
    <font>
      <vertAlign val="superscript"/>
      <sz val="13"/>
      <name val="Arial Narrow"/>
      <family val="2"/>
    </font>
    <font>
      <i/>
      <sz val="13"/>
      <name val="Arial Narrow"/>
      <family val="2"/>
    </font>
    <font>
      <sz val="10"/>
      <name val="Arial"/>
      <family val="2"/>
    </font>
    <font>
      <b/>
      <sz val="18"/>
      <color indexed="18"/>
      <name val="Arial Narrow"/>
      <family val="2"/>
    </font>
    <font>
      <sz val="10"/>
      <name val="Arial Narrow"/>
      <family val="2"/>
    </font>
    <font>
      <b/>
      <i/>
      <sz val="14"/>
      <color rgb="FFFF0000"/>
      <name val="Arial Narrow"/>
      <family val="2"/>
    </font>
    <font>
      <i/>
      <sz val="12"/>
      <name val="Arial Narrow"/>
      <family val="2"/>
    </font>
    <font>
      <sz val="12"/>
      <color theme="1"/>
      <name val="Arial Narrow"/>
      <family val="2"/>
    </font>
    <font>
      <sz val="13"/>
      <color rgb="FFFF0000"/>
      <name val="Arial Narrow"/>
      <family val="2"/>
    </font>
    <font>
      <b/>
      <sz val="15"/>
      <color rgb="FFFF0000"/>
      <name val="Arial Narrow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</cellStyleXfs>
  <cellXfs count="147">
    <xf numFmtId="0" fontId="0" fillId="0" borderId="0" xfId="0"/>
    <xf numFmtId="0" fontId="2" fillId="0" borderId="0" xfId="1"/>
    <xf numFmtId="0" fontId="1" fillId="2" borderId="0" xfId="1" applyFont="1" applyFill="1"/>
    <xf numFmtId="0" fontId="5" fillId="0" borderId="0" xfId="1" applyFont="1" applyAlignment="1">
      <alignment vertical="center" wrapText="1"/>
    </xf>
    <xf numFmtId="0" fontId="1" fillId="0" borderId="0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Alignment="1">
      <alignment horizontal="right" vertical="center" wrapText="1"/>
    </xf>
    <xf numFmtId="0" fontId="5" fillId="3" borderId="0" xfId="1" applyFont="1" applyFill="1" applyAlignment="1">
      <alignment vertical="center" wrapText="1"/>
    </xf>
    <xf numFmtId="0" fontId="5" fillId="0" borderId="0" xfId="1" applyFont="1" applyAlignment="1">
      <alignment horizontal="left" vertical="center" wrapText="1" indent="1"/>
    </xf>
    <xf numFmtId="0" fontId="8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 wrapText="1" indent="2"/>
    </xf>
    <xf numFmtId="0" fontId="5" fillId="3" borderId="0" xfId="1" applyFont="1" applyFill="1" applyAlignment="1">
      <alignment horizontal="left" vertical="center" wrapText="1" indent="2"/>
    </xf>
    <xf numFmtId="0" fontId="5" fillId="3" borderId="0" xfId="1" applyFont="1" applyFill="1" applyBorder="1" applyAlignment="1">
      <alignment horizontal="left" vertical="center" wrapText="1" indent="2"/>
    </xf>
    <xf numFmtId="0" fontId="5" fillId="3" borderId="0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5" fillId="3" borderId="0" xfId="1" applyFont="1" applyFill="1" applyAlignment="1">
      <alignment horizontal="left" vertical="center" wrapText="1" indent="1"/>
    </xf>
    <xf numFmtId="0" fontId="5" fillId="0" borderId="0" xfId="1" applyFont="1" applyFill="1" applyAlignment="1">
      <alignment horizontal="left" vertical="center" wrapText="1"/>
    </xf>
    <xf numFmtId="0" fontId="1" fillId="4" borderId="0" xfId="1" applyFont="1" applyFill="1" applyAlignment="1">
      <alignment vertical="center" wrapText="1"/>
    </xf>
    <xf numFmtId="0" fontId="5" fillId="0" borderId="0" xfId="1" applyFont="1" applyFill="1" applyAlignment="1">
      <alignment horizontal="left" vertical="center" wrapText="1" indent="1"/>
    </xf>
    <xf numFmtId="0" fontId="1" fillId="4" borderId="0" xfId="1" applyFont="1" applyFill="1" applyAlignment="1">
      <alignment horizontal="left" vertical="center" wrapText="1"/>
    </xf>
    <xf numFmtId="0" fontId="5" fillId="3" borderId="0" xfId="1" applyFont="1" applyFill="1" applyAlignment="1">
      <alignment horizontal="left" vertical="center" wrapText="1"/>
    </xf>
    <xf numFmtId="0" fontId="4" fillId="5" borderId="1" xfId="1" applyFont="1" applyFill="1" applyBorder="1" applyAlignment="1">
      <alignment vertical="center" wrapText="1"/>
    </xf>
    <xf numFmtId="0" fontId="1" fillId="5" borderId="2" xfId="1" applyFont="1" applyFill="1" applyBorder="1" applyAlignment="1">
      <alignment horizontal="left" vertical="center" wrapText="1"/>
    </xf>
    <xf numFmtId="0" fontId="1" fillId="5" borderId="3" xfId="1" applyFont="1" applyFill="1" applyBorder="1" applyAlignment="1">
      <alignment vertical="center" wrapText="1"/>
    </xf>
    <xf numFmtId="0" fontId="5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5" fillId="0" borderId="0" xfId="1" applyFont="1" applyFill="1" applyAlignment="1">
      <alignment horizontal="left" wrapText="1"/>
    </xf>
    <xf numFmtId="0" fontId="5" fillId="3" borderId="0" xfId="1" applyFont="1" applyFill="1" applyAlignment="1">
      <alignment horizontal="left" wrapText="1"/>
    </xf>
    <xf numFmtId="0" fontId="5" fillId="3" borderId="0" xfId="1" applyFont="1" applyFill="1" applyAlignment="1">
      <alignment horizontal="left" wrapText="1" indent="1"/>
    </xf>
    <xf numFmtId="0" fontId="5" fillId="0" borderId="0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1" fillId="2" borderId="4" xfId="1" applyFont="1" applyFill="1" applyBorder="1" applyAlignment="1" applyProtection="1">
      <alignment horizontal="left" vertical="center" wrapText="1"/>
      <protection locked="0"/>
    </xf>
    <xf numFmtId="2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Alignment="1">
      <alignment wrapText="1"/>
    </xf>
    <xf numFmtId="0" fontId="5" fillId="0" borderId="0" xfId="1" applyFont="1" applyAlignment="1">
      <alignment vertical="center" wrapText="1"/>
    </xf>
    <xf numFmtId="0" fontId="0" fillId="0" borderId="0" xfId="0"/>
    <xf numFmtId="0" fontId="1" fillId="0" borderId="0" xfId="1" applyFont="1" applyAlignment="1">
      <alignment vertical="center" wrapText="1"/>
    </xf>
    <xf numFmtId="0" fontId="0" fillId="0" borderId="0" xfId="0" applyFill="1"/>
    <xf numFmtId="2" fontId="5" fillId="0" borderId="4" xfId="1" applyNumberFormat="1" applyFont="1" applyFill="1" applyBorder="1" applyAlignment="1" applyProtection="1">
      <alignment horizontal="right" wrapText="1"/>
    </xf>
    <xf numFmtId="0" fontId="11" fillId="6" borderId="0" xfId="3" applyFont="1" applyFill="1" applyAlignment="1">
      <alignment horizontal="right"/>
    </xf>
    <xf numFmtId="0" fontId="1" fillId="6" borderId="0" xfId="3" applyFont="1" applyFill="1"/>
    <xf numFmtId="0" fontId="5" fillId="6" borderId="0" xfId="3" applyFont="1" applyFill="1" applyAlignment="1">
      <alignment horizontal="left" vertical="center" wrapText="1"/>
    </xf>
    <xf numFmtId="0" fontId="11" fillId="6" borderId="0" xfId="3" applyFont="1" applyFill="1" applyAlignment="1">
      <alignment horizontal="left" vertical="center" wrapText="1"/>
    </xf>
    <xf numFmtId="0" fontId="4" fillId="5" borderId="1" xfId="3" applyFont="1" applyFill="1" applyBorder="1" applyAlignment="1">
      <alignment wrapText="1"/>
    </xf>
    <xf numFmtId="0" fontId="4" fillId="6" borderId="0" xfId="3" applyFont="1" applyFill="1" applyAlignment="1">
      <alignment wrapText="1"/>
    </xf>
    <xf numFmtId="0" fontId="1" fillId="0" borderId="6" xfId="3" applyFont="1" applyBorder="1" applyAlignment="1">
      <alignment vertical="top"/>
    </xf>
    <xf numFmtId="0" fontId="1" fillId="0" borderId="6" xfId="3" applyFont="1" applyBorder="1" applyAlignment="1"/>
    <xf numFmtId="0" fontId="1" fillId="0" borderId="7" xfId="3" applyFont="1" applyBorder="1" applyAlignment="1"/>
    <xf numFmtId="0" fontId="1" fillId="0" borderId="7" xfId="3" applyFont="1" applyBorder="1" applyAlignment="1">
      <alignment vertical="top"/>
    </xf>
    <xf numFmtId="0" fontId="6" fillId="6" borderId="0" xfId="3" applyFont="1" applyFill="1" applyAlignment="1">
      <alignment horizontal="center" vertical="center"/>
    </xf>
    <xf numFmtId="0" fontId="11" fillId="7" borderId="2" xfId="3" applyFont="1" applyFill="1" applyBorder="1" applyAlignment="1">
      <alignment horizontal="right"/>
    </xf>
    <xf numFmtId="0" fontId="1" fillId="7" borderId="2" xfId="3" applyFont="1" applyFill="1" applyBorder="1"/>
    <xf numFmtId="0" fontId="14" fillId="0" borderId="0" xfId="0" applyFont="1" applyAlignment="1">
      <alignment vertical="top" wrapText="1"/>
    </xf>
    <xf numFmtId="0" fontId="0" fillId="0" borderId="0" xfId="0"/>
    <xf numFmtId="0" fontId="5" fillId="0" borderId="0" xfId="1" applyFont="1" applyAlignment="1">
      <alignment vertical="center" wrapText="1"/>
    </xf>
    <xf numFmtId="4" fontId="1" fillId="2" borderId="2" xfId="3" applyNumberFormat="1" applyFont="1" applyFill="1" applyBorder="1" applyAlignment="1" applyProtection="1">
      <alignment horizontal="left" vertical="top" wrapText="1"/>
      <protection locked="0"/>
    </xf>
    <xf numFmtId="0" fontId="6" fillId="6" borderId="0" xfId="3" applyFont="1" applyFill="1" applyAlignment="1">
      <alignment horizontal="center" vertical="center"/>
    </xf>
    <xf numFmtId="4" fontId="1" fillId="2" borderId="4" xfId="3" applyNumberFormat="1" applyFont="1" applyFill="1" applyBorder="1" applyAlignment="1" applyProtection="1">
      <alignment horizontal="left" vertical="top" wrapText="1"/>
      <protection locked="0"/>
    </xf>
    <xf numFmtId="2" fontId="5" fillId="0" borderId="4" xfId="1" applyNumberFormat="1" applyFont="1" applyBorder="1" applyAlignment="1" applyProtection="1">
      <alignment horizontal="right" vertical="center" wrapText="1"/>
    </xf>
    <xf numFmtId="0" fontId="15" fillId="0" borderId="0" xfId="1" applyFont="1" applyBorder="1" applyAlignment="1">
      <alignment vertical="center" wrapText="1"/>
    </xf>
    <xf numFmtId="0" fontId="15" fillId="0" borderId="0" xfId="1" applyFont="1" applyAlignment="1">
      <alignment vertical="center" wrapText="1"/>
    </xf>
    <xf numFmtId="0" fontId="5" fillId="8" borderId="0" xfId="1" applyFont="1" applyFill="1" applyAlignment="1">
      <alignment vertical="center" wrapText="1"/>
    </xf>
    <xf numFmtId="0" fontId="5" fillId="8" borderId="0" xfId="1" applyFont="1" applyFill="1" applyAlignment="1">
      <alignment horizontal="left" vertical="center" wrapText="1"/>
    </xf>
    <xf numFmtId="0" fontId="0" fillId="8" borderId="0" xfId="0" applyFill="1"/>
    <xf numFmtId="0" fontId="15" fillId="0" borderId="0" xfId="1" applyFont="1" applyFill="1" applyAlignment="1">
      <alignment vertical="center" wrapText="1"/>
    </xf>
    <xf numFmtId="0" fontId="15" fillId="8" borderId="0" xfId="1" applyFont="1" applyFill="1" applyAlignment="1">
      <alignment vertical="center" wrapText="1"/>
    </xf>
    <xf numFmtId="0" fontId="15" fillId="3" borderId="0" xfId="1" applyFont="1" applyFill="1" applyAlignment="1">
      <alignment vertical="center" wrapText="1"/>
    </xf>
    <xf numFmtId="0" fontId="15" fillId="0" borderId="0" xfId="1" applyFont="1" applyFill="1" applyAlignment="1">
      <alignment horizontal="left" vertical="center" wrapText="1"/>
    </xf>
    <xf numFmtId="0" fontId="15" fillId="3" borderId="0" xfId="1" applyFont="1" applyFill="1" applyBorder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0" fontId="15" fillId="3" borderId="0" xfId="1" applyFont="1" applyFill="1" applyAlignment="1">
      <alignment wrapText="1"/>
    </xf>
    <xf numFmtId="0" fontId="5" fillId="8" borderId="0" xfId="1" applyFont="1" applyFill="1" applyAlignment="1">
      <alignment horizontal="left" vertical="center" wrapText="1" indent="1"/>
    </xf>
    <xf numFmtId="1" fontId="15" fillId="0" borderId="0" xfId="1" applyNumberFormat="1" applyFont="1" applyAlignment="1">
      <alignment horizontal="left" vertical="center" wrapText="1"/>
    </xf>
    <xf numFmtId="2" fontId="5" fillId="8" borderId="4" xfId="1" applyNumberFormat="1" applyFont="1" applyFill="1" applyBorder="1" applyAlignment="1" applyProtection="1">
      <alignment horizontal="center" vertical="center" wrapText="1"/>
    </xf>
    <xf numFmtId="0" fontId="1" fillId="8" borderId="0" xfId="1" applyFont="1" applyFill="1" applyAlignment="1">
      <alignment horizontal="left" vertical="center" wrapText="1"/>
    </xf>
    <xf numFmtId="0" fontId="1" fillId="8" borderId="2" xfId="1" applyFont="1" applyFill="1" applyBorder="1" applyAlignment="1">
      <alignment horizontal="left" vertical="center" wrapText="1"/>
    </xf>
    <xf numFmtId="0" fontId="1" fillId="8" borderId="4" xfId="1" applyFont="1" applyFill="1" applyBorder="1" applyAlignment="1" applyProtection="1">
      <alignment horizontal="left" vertical="center" wrapText="1"/>
      <protection locked="0"/>
    </xf>
    <xf numFmtId="0" fontId="2" fillId="8" borderId="0" xfId="1" applyFill="1"/>
    <xf numFmtId="0" fontId="5" fillId="8" borderId="0" xfId="1" applyFont="1" applyFill="1" applyAlignment="1">
      <alignment horizontal="left" wrapText="1"/>
    </xf>
    <xf numFmtId="0" fontId="5" fillId="8" borderId="0" xfId="1" applyFont="1" applyFill="1" applyBorder="1" applyAlignment="1">
      <alignment horizontal="left" vertical="center" wrapText="1"/>
    </xf>
    <xf numFmtId="0" fontId="11" fillId="8" borderId="2" xfId="3" applyFont="1" applyFill="1" applyBorder="1" applyAlignment="1">
      <alignment horizontal="right"/>
    </xf>
    <xf numFmtId="0" fontId="11" fillId="8" borderId="0" xfId="3" applyFont="1" applyFill="1" applyAlignment="1">
      <alignment horizontal="right"/>
    </xf>
    <xf numFmtId="0" fontId="11" fillId="8" borderId="0" xfId="3" applyFont="1" applyFill="1" applyAlignment="1">
      <alignment horizontal="left" vertical="center" wrapText="1"/>
    </xf>
    <xf numFmtId="0" fontId="6" fillId="8" borderId="0" xfId="3" applyFont="1" applyFill="1" applyAlignment="1">
      <alignment horizontal="center" vertical="center"/>
    </xf>
    <xf numFmtId="0" fontId="1" fillId="8" borderId="4" xfId="3" applyFont="1" applyFill="1" applyBorder="1" applyAlignment="1"/>
    <xf numFmtId="0" fontId="1" fillId="8" borderId="2" xfId="3" applyFont="1" applyFill="1" applyBorder="1" applyAlignment="1"/>
    <xf numFmtId="0" fontId="1" fillId="8" borderId="4" xfId="3" applyFont="1" applyFill="1" applyBorder="1" applyAlignment="1">
      <alignment vertical="top"/>
    </xf>
    <xf numFmtId="0" fontId="1" fillId="8" borderId="2" xfId="3" applyFont="1" applyFill="1" applyBorder="1" applyAlignment="1">
      <alignment vertical="top"/>
    </xf>
    <xf numFmtId="0" fontId="16" fillId="0" borderId="0" xfId="1" applyFont="1" applyBorder="1" applyAlignment="1">
      <alignment vertical="center" wrapText="1"/>
    </xf>
    <xf numFmtId="0" fontId="5" fillId="3" borderId="0" xfId="5" applyFont="1" applyFill="1" applyBorder="1" applyAlignment="1">
      <alignment horizontal="left" vertical="center" indent="1"/>
    </xf>
    <xf numFmtId="2" fontId="5" fillId="0" borderId="0" xfId="1" applyNumberFormat="1" applyFont="1" applyBorder="1" applyAlignment="1">
      <alignment horizontal="right" vertical="center" wrapText="1"/>
    </xf>
    <xf numFmtId="2" fontId="5" fillId="3" borderId="4" xfId="5" applyNumberFormat="1" applyFont="1" applyFill="1" applyBorder="1" applyAlignment="1" applyProtection="1">
      <alignment horizontal="right" vertical="center"/>
    </xf>
    <xf numFmtId="2" fontId="1" fillId="5" borderId="2" xfId="1" applyNumberFormat="1" applyFont="1" applyFill="1" applyBorder="1" applyAlignment="1">
      <alignment horizontal="right" vertical="center" wrapText="1"/>
    </xf>
    <xf numFmtId="2" fontId="5" fillId="0" borderId="5" xfId="1" applyNumberFormat="1" applyFont="1" applyFill="1" applyBorder="1" applyAlignment="1" applyProtection="1">
      <alignment horizontal="center" vertical="center"/>
    </xf>
    <xf numFmtId="2" fontId="1" fillId="4" borderId="0" xfId="1" applyNumberFormat="1" applyFont="1" applyFill="1" applyAlignment="1">
      <alignment horizontal="right" vertical="center" wrapText="1"/>
    </xf>
    <xf numFmtId="2" fontId="2" fillId="0" borderId="0" xfId="1" applyNumberFormat="1"/>
    <xf numFmtId="2" fontId="5" fillId="0" borderId="0" xfId="1" applyNumberFormat="1" applyFont="1" applyAlignment="1">
      <alignment horizontal="right" vertical="center" wrapText="1"/>
    </xf>
    <xf numFmtId="2" fontId="1" fillId="2" borderId="4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Alignment="1">
      <alignment vertical="center" wrapText="1"/>
    </xf>
    <xf numFmtId="2" fontId="5" fillId="2" borderId="4" xfId="1" applyNumberFormat="1" applyFont="1" applyFill="1" applyBorder="1" applyAlignment="1" applyProtection="1">
      <alignment horizontal="right" vertical="center" wrapText="1"/>
      <protection locked="0"/>
    </xf>
    <xf numFmtId="2" fontId="5" fillId="2" borderId="2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1" applyFont="1" applyAlignment="1">
      <alignment vertical="center" wrapText="1"/>
    </xf>
    <xf numFmtId="2" fontId="0" fillId="0" borderId="0" xfId="0" applyNumberFormat="1"/>
    <xf numFmtId="2" fontId="5" fillId="0" borderId="0" xfId="1" applyNumberFormat="1" applyFont="1" applyBorder="1" applyAlignment="1">
      <alignment horizontal="right" wrapText="1"/>
    </xf>
    <xf numFmtId="2" fontId="5" fillId="0" borderId="2" xfId="1" applyNumberFormat="1" applyFont="1" applyFill="1" applyBorder="1" applyAlignment="1" applyProtection="1">
      <alignment horizontal="right" vertical="center" wrapText="1"/>
    </xf>
    <xf numFmtId="2" fontId="5" fillId="0" borderId="0" xfId="1" applyNumberFormat="1" applyFont="1" applyFill="1" applyBorder="1" applyAlignment="1">
      <alignment horizontal="right" vertical="center" wrapText="1"/>
    </xf>
    <xf numFmtId="2" fontId="16" fillId="0" borderId="0" xfId="1" applyNumberFormat="1" applyFont="1" applyBorder="1" applyAlignment="1">
      <alignment vertical="center" wrapText="1"/>
    </xf>
    <xf numFmtId="2" fontId="5" fillId="0" borderId="4" xfId="1" applyNumberFormat="1" applyFont="1" applyFill="1" applyBorder="1" applyAlignment="1" applyProtection="1">
      <alignment horizontal="right" vertical="center" wrapText="1"/>
    </xf>
    <xf numFmtId="2" fontId="5" fillId="8" borderId="4" xfId="1" applyNumberFormat="1" applyFont="1" applyFill="1" applyBorder="1" applyAlignment="1" applyProtection="1">
      <alignment horizontal="right" vertical="center" wrapText="1"/>
    </xf>
    <xf numFmtId="2" fontId="5" fillId="3" borderId="4" xfId="1" applyNumberFormat="1" applyFont="1" applyFill="1" applyBorder="1" applyAlignment="1" applyProtection="1">
      <alignment horizontal="right" vertical="center" wrapText="1"/>
      <protection locked="0"/>
    </xf>
    <xf numFmtId="2" fontId="5" fillId="3" borderId="0" xfId="1" applyNumberFormat="1" applyFont="1" applyFill="1" applyBorder="1" applyAlignment="1">
      <alignment horizontal="right" vertical="center" wrapText="1"/>
    </xf>
    <xf numFmtId="2" fontId="5" fillId="0" borderId="5" xfId="1" applyNumberFormat="1" applyFont="1" applyBorder="1" applyAlignment="1">
      <alignment horizontal="right" vertical="center" wrapText="1"/>
    </xf>
    <xf numFmtId="2" fontId="5" fillId="0" borderId="5" xfId="1" applyNumberFormat="1" applyFont="1" applyFill="1" applyBorder="1" applyAlignment="1" applyProtection="1">
      <alignment horizontal="right" vertical="center" wrapText="1"/>
    </xf>
    <xf numFmtId="2" fontId="5" fillId="0" borderId="0" xfId="1" applyNumberFormat="1" applyFont="1" applyFill="1" applyBorder="1" applyAlignment="1" applyProtection="1">
      <alignment horizontal="right" vertical="center" wrapText="1"/>
    </xf>
    <xf numFmtId="2" fontId="5" fillId="3" borderId="0" xfId="1" applyNumberFormat="1" applyFont="1" applyFill="1" applyBorder="1" applyAlignment="1" applyProtection="1">
      <alignment horizontal="right" vertical="center" wrapText="1"/>
    </xf>
    <xf numFmtId="2" fontId="5" fillId="0" borderId="0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 applyProtection="1">
      <alignment horizontal="center" vertical="center" wrapText="1"/>
      <protection locked="0"/>
    </xf>
    <xf numFmtId="2" fontId="5" fillId="3" borderId="0" xfId="1" applyNumberFormat="1" applyFont="1" applyFill="1" applyBorder="1" applyAlignment="1" applyProtection="1">
      <alignment horizontal="center" wrapText="1"/>
    </xf>
    <xf numFmtId="2" fontId="5" fillId="8" borderId="2" xfId="1" applyNumberFormat="1" applyFont="1" applyFill="1" applyBorder="1" applyAlignment="1" applyProtection="1">
      <alignment horizontal="center" vertical="center" wrapText="1"/>
    </xf>
    <xf numFmtId="2" fontId="5" fillId="6" borderId="4" xfId="1" applyNumberFormat="1" applyFont="1" applyFill="1" applyBorder="1" applyAlignment="1" applyProtection="1">
      <alignment horizontal="right" vertical="center" wrapText="1"/>
    </xf>
    <xf numFmtId="2" fontId="5" fillId="3" borderId="4" xfId="1" applyNumberFormat="1" applyFont="1" applyFill="1" applyBorder="1" applyAlignment="1">
      <alignment horizontal="right" vertical="center" wrapText="1"/>
    </xf>
    <xf numFmtId="2" fontId="5" fillId="0" borderId="0" xfId="1" applyNumberFormat="1" applyFont="1" applyAlignment="1" applyProtection="1">
      <alignment vertical="center" wrapText="1"/>
    </xf>
    <xf numFmtId="2" fontId="5" fillId="0" borderId="2" xfId="1" applyNumberFormat="1" applyFont="1" applyBorder="1" applyAlignment="1" applyProtection="1">
      <alignment horizontal="right" vertical="center" wrapText="1"/>
    </xf>
    <xf numFmtId="2" fontId="5" fillId="3" borderId="0" xfId="1" applyNumberFormat="1" applyFont="1" applyFill="1" applyBorder="1" applyAlignment="1">
      <alignment horizontal="center" vertical="center" wrapText="1"/>
    </xf>
    <xf numFmtId="2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0" xfId="1" applyNumberFormat="1" applyFont="1" applyBorder="1" applyAlignment="1" applyProtection="1">
      <alignment horizontal="right" vertical="center" wrapText="1"/>
    </xf>
    <xf numFmtId="2" fontId="6" fillId="0" borderId="0" xfId="1" applyNumberFormat="1" applyFont="1" applyAlignment="1">
      <alignment horizontal="right" vertical="center" wrapText="1"/>
    </xf>
    <xf numFmtId="2" fontId="5" fillId="0" borderId="0" xfId="1" applyNumberFormat="1" applyFont="1" applyAlignment="1">
      <alignment vertical="center" wrapText="1"/>
    </xf>
    <xf numFmtId="2" fontId="11" fillId="5" borderId="2" xfId="3" applyNumberFormat="1" applyFont="1" applyFill="1" applyBorder="1"/>
    <xf numFmtId="2" fontId="11" fillId="6" borderId="0" xfId="3" applyNumberFormat="1" applyFont="1" applyFill="1"/>
    <xf numFmtId="2" fontId="11" fillId="6" borderId="0" xfId="3" applyNumberFormat="1" applyFont="1" applyFill="1" applyAlignment="1">
      <alignment horizontal="left" vertical="center" wrapText="1"/>
    </xf>
    <xf numFmtId="0" fontId="3" fillId="4" borderId="0" xfId="1" applyFont="1" applyFill="1" applyAlignment="1">
      <alignment horizontal="center"/>
    </xf>
    <xf numFmtId="0" fontId="10" fillId="4" borderId="0" xfId="1" applyFont="1" applyFill="1" applyAlignment="1">
      <alignment horizontal="center" vertical="center"/>
    </xf>
    <xf numFmtId="0" fontId="6" fillId="6" borderId="0" xfId="3" applyFont="1" applyFill="1"/>
    <xf numFmtId="0" fontId="1" fillId="0" borderId="0" xfId="3" applyFont="1" applyAlignment="1">
      <alignment vertical="top" wrapText="1"/>
    </xf>
    <xf numFmtId="0" fontId="5" fillId="6" borderId="0" xfId="3" applyFont="1" applyFill="1" applyAlignment="1">
      <alignment horizontal="center" vertical="center" wrapText="1"/>
    </xf>
    <xf numFmtId="0" fontId="1" fillId="2" borderId="4" xfId="1" applyFont="1" applyFill="1" applyBorder="1" applyAlignment="1" applyProtection="1">
      <alignment horizontal="left" vertical="center" wrapText="1"/>
      <protection locked="0"/>
    </xf>
    <xf numFmtId="0" fontId="4" fillId="5" borderId="1" xfId="1" applyFont="1" applyFill="1" applyBorder="1" applyAlignment="1">
      <alignment horizontal="left" vertical="center" wrapText="1"/>
    </xf>
    <xf numFmtId="0" fontId="4" fillId="5" borderId="2" xfId="1" applyFont="1" applyFill="1" applyBorder="1" applyAlignment="1">
      <alignment horizontal="left" vertical="center" wrapText="1"/>
    </xf>
    <xf numFmtId="0" fontId="4" fillId="5" borderId="3" xfId="1" applyFont="1" applyFill="1" applyBorder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0" fontId="17" fillId="0" borderId="0" xfId="1" applyFont="1" applyAlignment="1">
      <alignment vertical="center" wrapText="1"/>
    </xf>
    <xf numFmtId="0" fontId="12" fillId="4" borderId="0" xfId="1" applyFont="1" applyFill="1" applyAlignment="1">
      <alignment horizontal="center"/>
    </xf>
    <xf numFmtId="164" fontId="1" fillId="2" borderId="2" xfId="1" applyNumberFormat="1" applyFont="1" applyFill="1" applyBorder="1" applyAlignment="1" applyProtection="1">
      <alignment horizontal="left" vertical="center" wrapText="1"/>
      <protection locked="0"/>
    </xf>
  </cellXfs>
  <cellStyles count="10">
    <cellStyle name="Normal" xfId="0" builtinId="0"/>
    <cellStyle name="Normal 2" xfId="1"/>
    <cellStyle name="Normal 2 2" xfId="3"/>
    <cellStyle name="Normal 2 2 2" xfId="6"/>
    <cellStyle name="Normal 2 3" xfId="8"/>
    <cellStyle name="Normal 2 4" xfId="7"/>
    <cellStyle name="Normal 2 4 2" xfId="9"/>
    <cellStyle name="Normal 2 5" xfId="5"/>
    <cellStyle name="Normal 3" xfId="2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"/>
  <sheetViews>
    <sheetView tabSelected="1" workbookViewId="0">
      <selection activeCell="A3" sqref="A3:E3"/>
    </sheetView>
  </sheetViews>
  <sheetFormatPr defaultRowHeight="15" x14ac:dyDescent="0.25"/>
  <cols>
    <col min="1" max="1" width="54.7109375" customWidth="1"/>
    <col min="2" max="2" width="23.85546875" style="105" customWidth="1"/>
    <col min="3" max="3" width="9.28515625" customWidth="1"/>
    <col min="4" max="4" width="4.7109375" style="66" hidden="1" customWidth="1"/>
    <col min="5" max="5" width="47" customWidth="1"/>
    <col min="7" max="7" width="14.42578125" customWidth="1"/>
  </cols>
  <sheetData>
    <row r="1" spans="1:8" ht="15.75" x14ac:dyDescent="0.25">
      <c r="A1" s="2" t="s">
        <v>0</v>
      </c>
      <c r="B1" s="97"/>
      <c r="C1" s="22"/>
      <c r="D1" s="77"/>
      <c r="E1" s="20"/>
      <c r="F1" s="1"/>
      <c r="G1" s="1"/>
      <c r="H1" s="1"/>
    </row>
    <row r="2" spans="1:8" ht="18" x14ac:dyDescent="0.25">
      <c r="A2" s="134" t="s">
        <v>1</v>
      </c>
      <c r="B2" s="134"/>
      <c r="C2" s="134"/>
      <c r="D2" s="134"/>
      <c r="E2" s="134"/>
      <c r="F2" s="1"/>
      <c r="G2" s="1"/>
      <c r="H2" s="1"/>
    </row>
    <row r="3" spans="1:8" ht="23.25" x14ac:dyDescent="0.25">
      <c r="A3" s="135" t="s">
        <v>64</v>
      </c>
      <c r="B3" s="135"/>
      <c r="C3" s="135"/>
      <c r="D3" s="135"/>
      <c r="E3" s="135"/>
      <c r="F3" s="1"/>
      <c r="G3" s="1"/>
      <c r="H3" s="1"/>
    </row>
    <row r="4" spans="1:8" ht="18" x14ac:dyDescent="0.25">
      <c r="A4" s="145" t="s">
        <v>63</v>
      </c>
      <c r="B4" s="145"/>
      <c r="C4" s="145"/>
      <c r="D4" s="145"/>
      <c r="E4" s="145"/>
      <c r="F4" s="1"/>
      <c r="G4" s="1"/>
      <c r="H4" s="1"/>
    </row>
    <row r="5" spans="1:8" ht="15.75" x14ac:dyDescent="0.25">
      <c r="A5" s="20"/>
      <c r="B5" s="97"/>
      <c r="C5" s="22"/>
      <c r="D5" s="77"/>
      <c r="E5" s="20"/>
      <c r="F5" s="1"/>
      <c r="G5" s="1"/>
      <c r="H5" s="1"/>
    </row>
    <row r="6" spans="1:8" ht="22.5" customHeight="1" x14ac:dyDescent="0.25">
      <c r="A6" s="24" t="s">
        <v>2</v>
      </c>
      <c r="B6" s="95"/>
      <c r="C6" s="25"/>
      <c r="D6" s="78"/>
      <c r="E6" s="26"/>
      <c r="F6" s="1"/>
      <c r="G6" s="1"/>
      <c r="H6" s="1"/>
    </row>
    <row r="7" spans="1:8" ht="25.5" customHeight="1" x14ac:dyDescent="0.25">
      <c r="A7" s="3" t="s">
        <v>3</v>
      </c>
      <c r="B7" s="139"/>
      <c r="C7" s="139"/>
      <c r="D7" s="139"/>
      <c r="E7" s="139"/>
      <c r="F7" s="4"/>
      <c r="G7" s="4"/>
      <c r="H7" s="4"/>
    </row>
    <row r="8" spans="1:8" ht="24.75" customHeight="1" x14ac:dyDescent="0.25">
      <c r="A8" s="3" t="s">
        <v>4</v>
      </c>
      <c r="B8" s="139"/>
      <c r="C8" s="139"/>
      <c r="D8" s="139"/>
      <c r="E8" s="139"/>
      <c r="F8" s="4"/>
      <c r="G8" s="4"/>
      <c r="H8" s="4"/>
    </row>
    <row r="9" spans="1:8" ht="24" customHeight="1" x14ac:dyDescent="0.25">
      <c r="A9" s="3" t="s">
        <v>5</v>
      </c>
      <c r="B9" s="100"/>
      <c r="C9" s="34"/>
      <c r="D9" s="79"/>
      <c r="E9" s="34"/>
      <c r="F9" s="4"/>
      <c r="G9" s="4"/>
      <c r="H9" s="4"/>
    </row>
    <row r="10" spans="1:8" ht="17.25" x14ac:dyDescent="0.25">
      <c r="A10" s="3" t="s">
        <v>6</v>
      </c>
      <c r="B10" s="146"/>
      <c r="C10" s="146"/>
      <c r="D10" s="146"/>
      <c r="E10" s="146"/>
      <c r="F10" s="4"/>
      <c r="G10" s="4"/>
      <c r="H10" s="4"/>
    </row>
    <row r="11" spans="1:8" ht="30" x14ac:dyDescent="0.25">
      <c r="A11" s="37" t="s">
        <v>65</v>
      </c>
      <c r="B11" s="139"/>
      <c r="C11" s="139"/>
      <c r="D11" s="139"/>
      <c r="E11" s="139"/>
      <c r="F11" s="4"/>
      <c r="G11" s="4"/>
      <c r="H11" s="4"/>
    </row>
    <row r="12" spans="1:8" ht="15.75" x14ac:dyDescent="0.25">
      <c r="A12" s="1"/>
      <c r="B12" s="98"/>
      <c r="C12" s="1"/>
      <c r="D12" s="80"/>
      <c r="E12" s="1"/>
      <c r="F12" s="4"/>
      <c r="G12" s="4"/>
      <c r="H12" s="4"/>
    </row>
    <row r="13" spans="1:8" ht="18" x14ac:dyDescent="0.25">
      <c r="A13" s="140" t="s">
        <v>7</v>
      </c>
      <c r="B13" s="141"/>
      <c r="C13" s="141"/>
      <c r="D13" s="141"/>
      <c r="E13" s="142"/>
      <c r="F13" s="4"/>
      <c r="G13" s="4"/>
      <c r="H13" s="4"/>
    </row>
    <row r="14" spans="1:8" ht="17.25" x14ac:dyDescent="0.25">
      <c r="A14" s="5" t="s">
        <v>8</v>
      </c>
      <c r="B14" s="99"/>
      <c r="C14" s="19"/>
      <c r="D14" s="65"/>
      <c r="E14" s="3"/>
      <c r="F14" s="3"/>
      <c r="G14" s="3"/>
      <c r="H14" s="3"/>
    </row>
    <row r="15" spans="1:8" ht="34.5" customHeight="1" x14ac:dyDescent="0.25">
      <c r="A15" s="39" t="s">
        <v>108</v>
      </c>
      <c r="B15" s="102"/>
      <c r="C15" s="19" t="s">
        <v>57</v>
      </c>
      <c r="D15" s="65"/>
      <c r="E15" s="3"/>
      <c r="F15" s="3"/>
      <c r="G15" s="3"/>
      <c r="H15" s="3"/>
    </row>
    <row r="16" spans="1:8" s="40" customFormat="1" ht="17.25" hidden="1" x14ac:dyDescent="0.3">
      <c r="A16" s="36" t="s">
        <v>9</v>
      </c>
      <c r="B16" s="41" t="str">
        <f>IF(B15="","",B15/43560)</f>
        <v/>
      </c>
      <c r="C16" s="29" t="s">
        <v>58</v>
      </c>
      <c r="D16" s="81"/>
      <c r="E16" s="36"/>
      <c r="F16" s="36"/>
      <c r="G16" s="36"/>
      <c r="H16" s="36"/>
    </row>
    <row r="17" spans="1:8" ht="19.5" x14ac:dyDescent="0.25">
      <c r="A17" s="3" t="s">
        <v>10</v>
      </c>
      <c r="B17" s="102"/>
      <c r="C17" s="19" t="s">
        <v>57</v>
      </c>
      <c r="D17" s="65"/>
      <c r="E17" s="3"/>
      <c r="F17" s="3"/>
      <c r="G17" s="3"/>
      <c r="H17" s="3"/>
    </row>
    <row r="18" spans="1:8" s="40" customFormat="1" ht="17.25" hidden="1" x14ac:dyDescent="0.3">
      <c r="A18" s="36" t="s">
        <v>10</v>
      </c>
      <c r="B18" s="41" t="str">
        <f>IF(B17="","",B17/43560)</f>
        <v/>
      </c>
      <c r="C18" s="29" t="s">
        <v>58</v>
      </c>
      <c r="D18" s="81"/>
      <c r="E18" s="36"/>
      <c r="F18" s="36"/>
      <c r="G18" s="36"/>
      <c r="H18" s="36"/>
    </row>
    <row r="19" spans="1:8" ht="17.25" x14ac:dyDescent="0.25">
      <c r="A19" s="3" t="s">
        <v>11</v>
      </c>
      <c r="B19" s="96" t="str">
        <f>IF(B17="","",(B17/B15)*100)</f>
        <v/>
      </c>
      <c r="C19" s="19" t="s">
        <v>12</v>
      </c>
      <c r="D19" s="65"/>
      <c r="E19" s="3"/>
      <c r="F19" s="3"/>
      <c r="G19" s="3"/>
      <c r="H19" s="3"/>
    </row>
    <row r="20" spans="1:8" s="56" customFormat="1" ht="17.25" x14ac:dyDescent="0.25">
      <c r="A20" s="57" t="s">
        <v>111</v>
      </c>
      <c r="B20" s="102"/>
      <c r="C20" s="19"/>
      <c r="D20" s="65"/>
      <c r="E20" s="57"/>
      <c r="F20" s="57"/>
      <c r="G20" s="57"/>
      <c r="H20" s="57"/>
    </row>
    <row r="21" spans="1:8" s="56" customFormat="1" ht="17.25" hidden="1" x14ac:dyDescent="0.25">
      <c r="A21" s="92" t="s">
        <v>117</v>
      </c>
      <c r="B21" s="94" t="e">
        <f>0.05+0.9*(B18/B16)</f>
        <v>#VALUE!</v>
      </c>
      <c r="C21" s="19"/>
      <c r="D21" s="65"/>
      <c r="E21" s="57"/>
      <c r="F21" s="57"/>
      <c r="G21" s="57"/>
      <c r="H21" s="57"/>
    </row>
    <row r="22" spans="1:8" ht="17.25" x14ac:dyDescent="0.25">
      <c r="A22" s="5"/>
      <c r="B22" s="93"/>
      <c r="C22" s="19"/>
      <c r="D22" s="65"/>
      <c r="E22" s="3"/>
      <c r="F22" s="3"/>
      <c r="G22" s="3"/>
      <c r="H22" s="3"/>
    </row>
    <row r="23" spans="1:8" ht="17.25" x14ac:dyDescent="0.3">
      <c r="A23" s="28" t="s">
        <v>13</v>
      </c>
      <c r="B23" s="106"/>
      <c r="C23" s="29"/>
      <c r="D23" s="81"/>
      <c r="E23" s="27"/>
      <c r="F23" s="27"/>
      <c r="G23" s="27"/>
      <c r="H23" s="27"/>
    </row>
    <row r="24" spans="1:8" ht="19.5" x14ac:dyDescent="0.25">
      <c r="A24" s="3" t="s">
        <v>66</v>
      </c>
      <c r="B24" s="103"/>
      <c r="C24" s="32" t="s">
        <v>60</v>
      </c>
      <c r="D24" s="82"/>
      <c r="E24" s="3"/>
    </row>
    <row r="25" spans="1:8" ht="19.5" x14ac:dyDescent="0.25">
      <c r="A25" s="3" t="s">
        <v>67</v>
      </c>
      <c r="B25" s="103"/>
      <c r="C25" s="32" t="s">
        <v>60</v>
      </c>
      <c r="D25" s="82"/>
      <c r="E25" s="3"/>
    </row>
    <row r="26" spans="1:8" ht="19.5" x14ac:dyDescent="0.25">
      <c r="A26" s="3" t="s">
        <v>68</v>
      </c>
      <c r="B26" s="107" t="str">
        <f>IF(B25="","",(B25-B24))</f>
        <v/>
      </c>
      <c r="C26" s="32" t="s">
        <v>60</v>
      </c>
      <c r="D26" s="82"/>
      <c r="E26" s="104" t="str">
        <f>IF(B26="","","Please provide routing calculations")</f>
        <v/>
      </c>
    </row>
    <row r="27" spans="1:8" ht="17.25" x14ac:dyDescent="0.25">
      <c r="A27" s="9"/>
      <c r="B27" s="108"/>
      <c r="C27" s="19"/>
      <c r="D27" s="65"/>
      <c r="E27" s="3"/>
    </row>
    <row r="28" spans="1:8" ht="19.5" x14ac:dyDescent="0.25">
      <c r="A28" s="5" t="s">
        <v>116</v>
      </c>
      <c r="B28" s="109"/>
      <c r="C28" s="91"/>
      <c r="D28" s="91"/>
      <c r="E28" s="91"/>
    </row>
    <row r="29" spans="1:8" ht="19.5" x14ac:dyDescent="0.25">
      <c r="A29" s="101" t="s">
        <v>118</v>
      </c>
      <c r="B29" s="110" t="str">
        <f>IF(B15="","",3630*1.5*B21*B16)</f>
        <v/>
      </c>
      <c r="C29" s="19" t="s">
        <v>61</v>
      </c>
      <c r="D29" s="65"/>
      <c r="E29" s="67"/>
    </row>
    <row r="30" spans="1:8" ht="19.5" x14ac:dyDescent="0.25">
      <c r="A30" s="3" t="s">
        <v>16</v>
      </c>
      <c r="B30" s="103"/>
      <c r="C30" s="15" t="s">
        <v>61</v>
      </c>
      <c r="D30" s="65"/>
      <c r="E30" s="62" t="str">
        <f>IF(B30="","",IF(B30&lt;B29,"Additional volume needed","OK"))</f>
        <v/>
      </c>
    </row>
    <row r="31" spans="1:8" ht="17.25" x14ac:dyDescent="0.25">
      <c r="A31" s="3"/>
      <c r="B31" s="108"/>
      <c r="C31" s="19"/>
      <c r="D31" s="65"/>
      <c r="E31" s="63"/>
      <c r="G31" s="38"/>
      <c r="H31" s="38"/>
    </row>
    <row r="32" spans="1:8" ht="17.25" x14ac:dyDescent="0.25">
      <c r="A32" s="5" t="s">
        <v>17</v>
      </c>
      <c r="B32" s="108"/>
      <c r="C32" s="19"/>
      <c r="D32" s="65"/>
      <c r="E32" s="63"/>
      <c r="G32" s="38"/>
      <c r="H32" s="38"/>
    </row>
    <row r="33" spans="1:8" ht="17.25" x14ac:dyDescent="0.25">
      <c r="A33" s="3" t="s">
        <v>69</v>
      </c>
      <c r="B33" s="102"/>
      <c r="C33" s="19" t="s">
        <v>19</v>
      </c>
      <c r="D33" s="65"/>
      <c r="E33" s="63" t="str">
        <f>IF(B33="","",IF(B33&gt;12,"Insufficient ponding depth",IF(B33&lt;9,"Insufficient ponding depth","OK")))</f>
        <v/>
      </c>
      <c r="G33" s="38"/>
      <c r="H33" s="38"/>
    </row>
    <row r="34" spans="1:8" ht="17.25" x14ac:dyDescent="0.25">
      <c r="A34" s="3" t="s">
        <v>18</v>
      </c>
      <c r="B34" s="61" t="str">
        <f>IF(B33="","",B33/12)</f>
        <v/>
      </c>
      <c r="C34" s="19" t="s">
        <v>20</v>
      </c>
      <c r="D34" s="65"/>
      <c r="E34" s="63"/>
      <c r="G34" s="38"/>
      <c r="H34" s="38"/>
    </row>
    <row r="35" spans="1:8" ht="30" x14ac:dyDescent="0.25">
      <c r="A35" s="3" t="s">
        <v>70</v>
      </c>
      <c r="B35" s="110" t="str">
        <f>IF(B30="","",B30/B34)</f>
        <v/>
      </c>
      <c r="C35" s="19" t="s">
        <v>57</v>
      </c>
      <c r="D35" s="65"/>
      <c r="E35" s="63" t="str">
        <f>IF(B35="","",IF(B35=B42,"OK","Area does not match values provided"))</f>
        <v/>
      </c>
      <c r="G35" s="38"/>
      <c r="H35" s="38"/>
    </row>
    <row r="36" spans="1:8" s="66" customFormat="1" ht="17.25" hidden="1" x14ac:dyDescent="0.25">
      <c r="A36" s="64"/>
      <c r="B36" s="111" t="e">
        <f>IF($B$20="Yes",B30,#REF!)</f>
        <v>#REF!</v>
      </c>
      <c r="C36" s="65"/>
      <c r="D36" s="65"/>
      <c r="E36" s="68"/>
    </row>
    <row r="37" spans="1:8" ht="17.25" x14ac:dyDescent="0.25">
      <c r="A37" s="9" t="s">
        <v>71</v>
      </c>
      <c r="B37" s="102"/>
      <c r="C37" s="19" t="s">
        <v>20</v>
      </c>
      <c r="D37" s="65"/>
      <c r="E37" s="67" t="str">
        <f>IF(B37="","",IF(B37&lt;10,"Minimum 10 feet required","OK"))</f>
        <v/>
      </c>
      <c r="G37" s="38"/>
      <c r="H37" s="38"/>
    </row>
    <row r="38" spans="1:8" ht="17.25" hidden="1" x14ac:dyDescent="0.25">
      <c r="A38" s="18"/>
      <c r="B38" s="112"/>
      <c r="C38" s="23"/>
      <c r="D38" s="65"/>
      <c r="E38" s="69"/>
      <c r="G38" s="38"/>
      <c r="H38" s="38"/>
    </row>
    <row r="39" spans="1:8" ht="17.25" x14ac:dyDescent="0.25">
      <c r="A39" s="9" t="s">
        <v>72</v>
      </c>
      <c r="B39" s="102"/>
      <c r="C39" s="19" t="s">
        <v>20</v>
      </c>
      <c r="D39" s="65"/>
      <c r="E39" s="67" t="str">
        <f>IF(B39="","",IF(B39&lt;10,"Minimum 10 feet required","OK"))</f>
        <v/>
      </c>
      <c r="G39" s="38"/>
      <c r="H39" s="38"/>
    </row>
    <row r="40" spans="1:8" ht="17.25" hidden="1" x14ac:dyDescent="0.25">
      <c r="A40" s="18"/>
      <c r="B40" s="112"/>
      <c r="C40" s="23"/>
      <c r="D40" s="65"/>
      <c r="E40" s="69"/>
    </row>
    <row r="41" spans="1:8" ht="17.25" x14ac:dyDescent="0.25">
      <c r="A41" s="9" t="s">
        <v>73</v>
      </c>
      <c r="B41" s="103"/>
      <c r="C41" s="19" t="s">
        <v>20</v>
      </c>
      <c r="D41" s="65"/>
      <c r="E41" s="67" t="str">
        <f>IF(B41="","",IF(B41&lt;10,"Minimum 10 feet required","OK"))</f>
        <v/>
      </c>
    </row>
    <row r="42" spans="1:8" ht="17.25" hidden="1" x14ac:dyDescent="0.25">
      <c r="A42" s="18" t="s">
        <v>119</v>
      </c>
      <c r="B42" s="113">
        <f>IF(B41="",B37*B39,PI()*B41^2)</f>
        <v>0</v>
      </c>
      <c r="C42" s="23" t="s">
        <v>20</v>
      </c>
      <c r="D42" s="65"/>
      <c r="E42" s="69"/>
    </row>
    <row r="43" spans="1:8" ht="17.25" x14ac:dyDescent="0.25">
      <c r="A43" s="21"/>
      <c r="B43" s="108"/>
      <c r="C43" s="19"/>
      <c r="D43" s="65"/>
      <c r="E43" s="67"/>
    </row>
    <row r="44" spans="1:8" ht="17.25" x14ac:dyDescent="0.25">
      <c r="A44" s="5" t="s">
        <v>21</v>
      </c>
      <c r="B44" s="93"/>
      <c r="C44" s="19"/>
      <c r="D44" s="65"/>
      <c r="E44" s="63"/>
    </row>
    <row r="45" spans="1:8" ht="17.25" x14ac:dyDescent="0.25">
      <c r="A45" s="3" t="s">
        <v>74</v>
      </c>
      <c r="B45" s="102"/>
      <c r="C45" s="19" t="s">
        <v>22</v>
      </c>
      <c r="D45" s="65"/>
      <c r="E45" s="67" t="str">
        <f>IF(B45="","",IF(AND(B45&lt;=12,B45&gt;0),"OK","Insufficient ponded volume drawdown time"))</f>
        <v/>
      </c>
    </row>
    <row r="46" spans="1:8" ht="30" x14ac:dyDescent="0.25">
      <c r="A46" s="3" t="s">
        <v>75</v>
      </c>
      <c r="B46" s="102"/>
      <c r="C46" s="19" t="s">
        <v>22</v>
      </c>
      <c r="D46" s="65"/>
      <c r="E46" s="70" t="str">
        <f>IF(B46="","",IF(AND(B46&lt;=48,B46&gt;0),"OK","Insufficient drawdown time"))</f>
        <v/>
      </c>
    </row>
    <row r="47" spans="1:8" ht="17.25" x14ac:dyDescent="0.25">
      <c r="A47" s="15" t="s">
        <v>23</v>
      </c>
      <c r="B47" s="110" t="str">
        <f>IF(B46="","",SUM(B45:B46))</f>
        <v/>
      </c>
      <c r="C47" s="19" t="s">
        <v>22</v>
      </c>
      <c r="D47" s="65"/>
      <c r="E47" s="70"/>
    </row>
    <row r="48" spans="1:8" ht="17.25" x14ac:dyDescent="0.25">
      <c r="A48" s="10" t="s">
        <v>24</v>
      </c>
      <c r="B48" s="114"/>
      <c r="C48" s="19"/>
      <c r="D48" s="65"/>
      <c r="E48" s="63"/>
    </row>
    <row r="49" spans="1:5" ht="36" customHeight="1" x14ac:dyDescent="0.25">
      <c r="A49" s="9" t="s">
        <v>76</v>
      </c>
      <c r="B49" s="102"/>
      <c r="C49" s="19" t="s">
        <v>15</v>
      </c>
      <c r="D49" s="65"/>
      <c r="E49" s="63" t="str">
        <f>IF(B49="","",IF(B49&gt;=0.52,"OK","Increase infiltration rate or use underdrains"))</f>
        <v/>
      </c>
    </row>
    <row r="50" spans="1:5" ht="17.25" x14ac:dyDescent="0.25">
      <c r="A50" s="10" t="s">
        <v>25</v>
      </c>
      <c r="B50" s="115"/>
      <c r="C50" s="19"/>
      <c r="D50" s="65"/>
      <c r="E50" s="63"/>
    </row>
    <row r="51" spans="1:5" ht="17.25" x14ac:dyDescent="0.25">
      <c r="A51" s="9" t="s">
        <v>77</v>
      </c>
      <c r="B51" s="102"/>
      <c r="C51" s="19" t="s">
        <v>15</v>
      </c>
      <c r="D51" s="65"/>
      <c r="E51" s="63" t="str">
        <f>IF(B51="","",IF(AND(B51&gt;=0.52,B51&lt;=6),"OK","Insufficient media infiltration rate"))</f>
        <v/>
      </c>
    </row>
    <row r="52" spans="1:5" ht="17.25" x14ac:dyDescent="0.25">
      <c r="A52" s="9" t="s">
        <v>26</v>
      </c>
      <c r="B52" s="116"/>
      <c r="C52" s="19"/>
      <c r="D52" s="65"/>
      <c r="E52" s="63"/>
    </row>
    <row r="53" spans="1:5" ht="17.25" x14ac:dyDescent="0.25">
      <c r="A53" s="11" t="s">
        <v>78</v>
      </c>
      <c r="B53" s="102"/>
      <c r="C53" s="19" t="s">
        <v>12</v>
      </c>
      <c r="D53" s="65"/>
      <c r="E53" s="63" t="str">
        <f>IF(B53="","",IF((B54+B55)&gt;0,"Sand should be 85 - 88%","OK"))</f>
        <v/>
      </c>
    </row>
    <row r="54" spans="1:5" ht="17.25" hidden="1" x14ac:dyDescent="0.25">
      <c r="A54" s="12"/>
      <c r="B54" s="117">
        <f>IF(B53&lt;85,1,0)</f>
        <v>1</v>
      </c>
      <c r="C54" s="23"/>
      <c r="D54" s="65"/>
      <c r="E54" s="69"/>
    </row>
    <row r="55" spans="1:5" ht="17.25" hidden="1" x14ac:dyDescent="0.25">
      <c r="A55" s="12"/>
      <c r="B55" s="117">
        <f>IF(B53&gt;88,1,0)</f>
        <v>0</v>
      </c>
      <c r="C55" s="23"/>
      <c r="D55" s="65"/>
      <c r="E55" s="69"/>
    </row>
    <row r="56" spans="1:5" ht="42.75" x14ac:dyDescent="0.25">
      <c r="A56" s="11" t="s">
        <v>79</v>
      </c>
      <c r="B56" s="102"/>
      <c r="C56" s="19" t="s">
        <v>12</v>
      </c>
      <c r="D56" s="65"/>
      <c r="E56" s="63" t="str">
        <f>IF(B56="","",IF((B57+B58)&gt;0,"Fines should be 8 - 12%","OK"))</f>
        <v/>
      </c>
    </row>
    <row r="57" spans="1:5" ht="21" hidden="1" customHeight="1" x14ac:dyDescent="0.25">
      <c r="A57" s="13"/>
      <c r="B57" s="117">
        <f>IF(B56&lt;8,1,0)</f>
        <v>1</v>
      </c>
      <c r="C57" s="14"/>
      <c r="D57" s="82"/>
      <c r="E57" s="71"/>
    </row>
    <row r="58" spans="1:5" ht="17.25" hidden="1" x14ac:dyDescent="0.25">
      <c r="A58" s="13"/>
      <c r="B58" s="117">
        <f>IF(B56&gt;12,1,0)</f>
        <v>0</v>
      </c>
      <c r="C58" s="14"/>
      <c r="D58" s="82"/>
      <c r="E58" s="71"/>
    </row>
    <row r="59" spans="1:5" ht="17.25" x14ac:dyDescent="0.25">
      <c r="A59" s="11" t="s">
        <v>80</v>
      </c>
      <c r="B59" s="102"/>
      <c r="C59" s="19" t="s">
        <v>12</v>
      </c>
      <c r="D59" s="65"/>
      <c r="E59" s="63" t="str">
        <f>IF(B59="","",IF((B60+B61)&gt;0,"Organics should be 3 - 5%","OK"))</f>
        <v/>
      </c>
    </row>
    <row r="60" spans="1:5" ht="17.25" hidden="1" x14ac:dyDescent="0.25">
      <c r="A60" s="13"/>
      <c r="B60" s="117">
        <f>IF(B59&lt;3,1,0)</f>
        <v>1</v>
      </c>
      <c r="C60" s="14"/>
      <c r="D60" s="82"/>
      <c r="E60" s="71"/>
    </row>
    <row r="61" spans="1:5" ht="17.25" hidden="1" x14ac:dyDescent="0.25">
      <c r="A61" s="13"/>
      <c r="B61" s="117">
        <f>IF(B59&gt;5,1,0)</f>
        <v>0</v>
      </c>
      <c r="C61" s="14"/>
      <c r="D61" s="82"/>
      <c r="E61" s="71"/>
    </row>
    <row r="62" spans="1:5" ht="17.25" x14ac:dyDescent="0.25">
      <c r="A62" s="7" t="s">
        <v>27</v>
      </c>
      <c r="B62" s="61" t="str">
        <f>IF(B59="","",SUM(B53,B56,B59))</f>
        <v/>
      </c>
      <c r="C62" s="19" t="s">
        <v>12</v>
      </c>
      <c r="D62" s="65"/>
      <c r="E62" s="72" t="s">
        <v>59</v>
      </c>
    </row>
    <row r="63" spans="1:5" ht="39" customHeight="1" x14ac:dyDescent="0.25">
      <c r="A63" s="15" t="s">
        <v>81</v>
      </c>
      <c r="B63" s="103"/>
      <c r="C63" s="19" t="s">
        <v>28</v>
      </c>
      <c r="D63" s="65"/>
      <c r="E63" s="72" t="str">
        <f>IF(B63="","",IF(B63&lt;10,"Insufficient P-Index",IF(B63&gt;30,"Insufficient P-Index","OK")))</f>
        <v/>
      </c>
    </row>
    <row r="64" spans="1:5" ht="17.25" x14ac:dyDescent="0.25">
      <c r="A64" s="15"/>
      <c r="B64" s="118"/>
      <c r="C64" s="19"/>
      <c r="D64" s="65"/>
      <c r="E64" s="72"/>
    </row>
    <row r="65" spans="1:5" ht="17.25" x14ac:dyDescent="0.25">
      <c r="A65" s="5" t="s">
        <v>29</v>
      </c>
      <c r="B65" s="93"/>
      <c r="C65" s="19"/>
      <c r="D65" s="65"/>
      <c r="E65" s="63"/>
    </row>
    <row r="66" spans="1:5" ht="42.75" customHeight="1" x14ac:dyDescent="0.25">
      <c r="A66" s="3" t="s">
        <v>82</v>
      </c>
      <c r="B66" s="102"/>
      <c r="C66" s="19" t="s">
        <v>30</v>
      </c>
      <c r="D66" s="65"/>
      <c r="E66" s="72"/>
    </row>
    <row r="67" spans="1:5" ht="34.5" x14ac:dyDescent="0.25">
      <c r="A67" s="3" t="s">
        <v>31</v>
      </c>
      <c r="B67" s="93"/>
      <c r="C67" s="19"/>
      <c r="D67" s="65"/>
      <c r="E67" s="63"/>
    </row>
    <row r="68" spans="1:5" ht="17.25" x14ac:dyDescent="0.25">
      <c r="A68" s="9" t="s">
        <v>83</v>
      </c>
      <c r="B68" s="119"/>
      <c r="C68" s="19" t="s">
        <v>14</v>
      </c>
      <c r="D68" s="65"/>
      <c r="E68" s="67" t="str">
        <f>IF(B68="","",IF(B69&gt;0,"Insufficient media depth","OK"))</f>
        <v/>
      </c>
    </row>
    <row r="69" spans="1:5" ht="17.25" hidden="1" x14ac:dyDescent="0.3">
      <c r="A69" s="31"/>
      <c r="B69" s="120" t="b">
        <f>IF(B68="Y",IF(B76&lt;2,1,0))</f>
        <v>0</v>
      </c>
      <c r="C69" s="30"/>
      <c r="D69" s="81"/>
      <c r="E69" s="73"/>
    </row>
    <row r="70" spans="1:5" ht="17.25" x14ac:dyDescent="0.25">
      <c r="A70" s="9" t="s">
        <v>84</v>
      </c>
      <c r="B70" s="35"/>
      <c r="C70" s="19" t="s">
        <v>14</v>
      </c>
      <c r="D70" s="65"/>
      <c r="E70" s="67" t="str">
        <f>IF(B70="","",IF(B71&gt;0,"Insufficient media depth","OK"))</f>
        <v/>
      </c>
    </row>
    <row r="71" spans="1:5" s="66" customFormat="1" ht="17.25" hidden="1" x14ac:dyDescent="0.25">
      <c r="A71" s="74"/>
      <c r="B71" s="121" t="b">
        <f>IF(B70="Y",IF(B76&lt;3,1,0))</f>
        <v>0</v>
      </c>
      <c r="C71" s="65"/>
      <c r="D71" s="65"/>
      <c r="E71" s="68"/>
    </row>
    <row r="72" spans="1:5" ht="17.25" x14ac:dyDescent="0.25">
      <c r="A72" s="3" t="s">
        <v>85</v>
      </c>
      <c r="B72" s="103"/>
      <c r="C72" s="19" t="s">
        <v>30</v>
      </c>
      <c r="D72" s="65"/>
      <c r="E72" s="72"/>
    </row>
    <row r="73" spans="1:5" ht="17.25" x14ac:dyDescent="0.25">
      <c r="A73" s="3" t="s">
        <v>86</v>
      </c>
      <c r="B73" s="102"/>
      <c r="C73" s="19" t="s">
        <v>19</v>
      </c>
      <c r="D73" s="65"/>
      <c r="E73" s="63" t="str">
        <f>IF(B73="","",IF(B74&lt;1,"No mulch is required",IF(E74&lt;1,"Insufficient mulch depth","OK")))</f>
        <v/>
      </c>
    </row>
    <row r="74" spans="1:5" s="66" customFormat="1" ht="17.25" hidden="1" x14ac:dyDescent="0.25">
      <c r="A74" s="64"/>
      <c r="B74" s="111">
        <f>IF(B68="Y",1,0)</f>
        <v>0</v>
      </c>
      <c r="C74" s="65"/>
      <c r="D74" s="65"/>
      <c r="E74" s="68">
        <f>IF(AND(B73&gt;=2,B73&lt;=4),1,0)</f>
        <v>0</v>
      </c>
    </row>
    <row r="75" spans="1:5" ht="17.25" x14ac:dyDescent="0.25">
      <c r="A75" s="3" t="s">
        <v>32</v>
      </c>
      <c r="B75" s="103"/>
      <c r="C75" s="19" t="s">
        <v>30</v>
      </c>
      <c r="D75" s="65"/>
      <c r="E75" s="72"/>
    </row>
    <row r="76" spans="1:5" ht="17.25" x14ac:dyDescent="0.25">
      <c r="A76" s="3" t="s">
        <v>33</v>
      </c>
      <c r="B76" s="110" t="str">
        <f>IF(B75="","",B72-B75)</f>
        <v/>
      </c>
      <c r="C76" s="19" t="s">
        <v>20</v>
      </c>
      <c r="D76" s="65"/>
      <c r="E76" s="72"/>
    </row>
    <row r="77" spans="1:5" ht="42.75" x14ac:dyDescent="0.25">
      <c r="A77" s="3" t="s">
        <v>87</v>
      </c>
      <c r="B77" s="102"/>
      <c r="C77" s="19" t="s">
        <v>20</v>
      </c>
      <c r="D77" s="65"/>
      <c r="E77" s="63"/>
    </row>
    <row r="78" spans="1:5" ht="38.25" customHeight="1" x14ac:dyDescent="0.25">
      <c r="A78" s="3" t="s">
        <v>34</v>
      </c>
      <c r="B78" s="35"/>
      <c r="C78" s="19" t="s">
        <v>14</v>
      </c>
      <c r="D78" s="65"/>
      <c r="E78" s="63" t="str">
        <f>IF(B78="","",IF(B79&lt;1,"",IF(E79&gt;0,"Planting media permability is greater than in-situ soils. Cell must be able to drain","OK")))</f>
        <v/>
      </c>
    </row>
    <row r="79" spans="1:5" s="66" customFormat="1" ht="17.25" hidden="1" x14ac:dyDescent="0.25">
      <c r="A79" s="64"/>
      <c r="B79" s="76">
        <f>IF(B78="N",1,0)</f>
        <v>0</v>
      </c>
      <c r="C79" s="65"/>
      <c r="D79" s="65"/>
      <c r="E79" s="68">
        <f>IF(B51&gt;B49,1,0)</f>
        <v>0</v>
      </c>
    </row>
    <row r="80" spans="1:5" ht="17.25" x14ac:dyDescent="0.25">
      <c r="A80" s="9" t="s">
        <v>115</v>
      </c>
      <c r="B80" s="122" t="str">
        <f>IF(B35="","",ROUND(B35/1000,1))</f>
        <v/>
      </c>
      <c r="C80" s="19" t="s">
        <v>35</v>
      </c>
      <c r="D80" s="65"/>
      <c r="E80" s="67" t="s">
        <v>59</v>
      </c>
    </row>
    <row r="81" spans="1:8" ht="34.5" x14ac:dyDescent="0.25">
      <c r="A81" s="9" t="s">
        <v>88</v>
      </c>
      <c r="B81" s="102"/>
      <c r="C81" s="19"/>
      <c r="D81" s="65"/>
      <c r="E81" s="63" t="s">
        <v>59</v>
      </c>
      <c r="F81" s="3"/>
      <c r="G81" s="3"/>
      <c r="H81" s="3"/>
    </row>
    <row r="82" spans="1:8" ht="17.25" hidden="1" x14ac:dyDescent="0.25">
      <c r="A82" s="18"/>
      <c r="B82" s="123"/>
      <c r="C82" s="23"/>
      <c r="D82" s="65"/>
      <c r="E82" s="69"/>
      <c r="F82" s="8"/>
      <c r="G82" s="8"/>
      <c r="H82" s="8"/>
    </row>
    <row r="83" spans="1:8" ht="51.75" x14ac:dyDescent="0.25">
      <c r="A83" s="3" t="s">
        <v>36</v>
      </c>
      <c r="B83" s="107" t="str">
        <f>IF(B78="","",IF(B78="Y","1","0"))</f>
        <v/>
      </c>
      <c r="C83" s="19" t="s">
        <v>20</v>
      </c>
      <c r="D83" s="65"/>
      <c r="E83" s="67"/>
      <c r="F83" s="3"/>
      <c r="G83" s="3"/>
      <c r="H83" s="3"/>
    </row>
    <row r="84" spans="1:8" ht="30" x14ac:dyDescent="0.25">
      <c r="A84" s="3" t="s">
        <v>89</v>
      </c>
      <c r="B84" s="124" t="str">
        <f>IF(B75="","",B75-B83-B77)</f>
        <v/>
      </c>
      <c r="C84" s="15" t="s">
        <v>30</v>
      </c>
      <c r="D84" s="65"/>
      <c r="E84" s="67"/>
      <c r="F84" s="3"/>
      <c r="G84" s="3"/>
      <c r="H84" s="3"/>
    </row>
    <row r="85" spans="1:8" ht="17.25" x14ac:dyDescent="0.25">
      <c r="A85" s="3" t="s">
        <v>90</v>
      </c>
      <c r="B85" s="102"/>
      <c r="C85" s="19" t="s">
        <v>30</v>
      </c>
      <c r="D85" s="65"/>
      <c r="E85" s="63"/>
      <c r="F85" s="3"/>
      <c r="G85" s="3"/>
      <c r="H85" s="3"/>
    </row>
    <row r="86" spans="1:8" ht="17.25" x14ac:dyDescent="0.25">
      <c r="A86" s="3" t="s">
        <v>37</v>
      </c>
      <c r="B86" s="125" t="str">
        <f>IF(B84="","",B84-B85)</f>
        <v/>
      </c>
      <c r="C86" s="19" t="s">
        <v>20</v>
      </c>
      <c r="D86" s="65"/>
      <c r="E86" s="67" t="str">
        <f>IF(B86="","",IF(B86&lt;2,"Minimum distance is 2 feet","OK"))</f>
        <v/>
      </c>
      <c r="F86" s="3"/>
      <c r="G86" s="3"/>
      <c r="H86" s="3"/>
    </row>
    <row r="87" spans="1:8" ht="17.25" hidden="1" x14ac:dyDescent="0.25">
      <c r="A87" s="18"/>
      <c r="B87" s="126"/>
      <c r="C87" s="23"/>
      <c r="D87" s="65"/>
      <c r="E87" s="69"/>
      <c r="F87" s="8"/>
      <c r="G87" s="8"/>
      <c r="H87" s="8"/>
    </row>
    <row r="88" spans="1:8" ht="17.25" x14ac:dyDescent="0.25">
      <c r="A88" s="3"/>
      <c r="B88" s="93"/>
      <c r="C88" s="19"/>
      <c r="D88" s="65"/>
      <c r="E88" s="63"/>
      <c r="F88" s="3"/>
      <c r="G88" s="3"/>
      <c r="H88" s="3"/>
    </row>
    <row r="89" spans="1:8" ht="17.25" x14ac:dyDescent="0.25">
      <c r="A89" s="33" t="s">
        <v>38</v>
      </c>
      <c r="B89" s="93"/>
      <c r="C89" s="19"/>
      <c r="D89" s="65"/>
      <c r="E89" s="63"/>
      <c r="F89" s="3"/>
      <c r="G89" s="3"/>
      <c r="H89" s="3"/>
    </row>
    <row r="90" spans="1:8" ht="17.25" x14ac:dyDescent="0.25">
      <c r="A90" s="9" t="s">
        <v>39</v>
      </c>
      <c r="B90" s="127"/>
      <c r="C90" s="19" t="s">
        <v>14</v>
      </c>
      <c r="D90" s="65"/>
      <c r="E90" s="63"/>
      <c r="F90" s="3"/>
      <c r="G90" s="3"/>
      <c r="H90" s="3"/>
    </row>
    <row r="91" spans="1:8" ht="17.25" x14ac:dyDescent="0.25">
      <c r="A91" s="9" t="s">
        <v>40</v>
      </c>
      <c r="B91" s="102"/>
      <c r="C91" s="19" t="s">
        <v>30</v>
      </c>
      <c r="D91" s="65"/>
      <c r="E91" s="63"/>
      <c r="F91" s="3"/>
      <c r="G91" s="3"/>
      <c r="H91" s="3"/>
    </row>
    <row r="92" spans="1:8" ht="17.25" x14ac:dyDescent="0.25">
      <c r="A92" s="9" t="s">
        <v>41</v>
      </c>
      <c r="B92" s="128" t="str">
        <f>IF(B91="","",B72-B91)</f>
        <v/>
      </c>
      <c r="C92" s="19" t="s">
        <v>20</v>
      </c>
      <c r="D92" s="65"/>
      <c r="E92" s="63" t="str">
        <f>IF(B91="","",IF(B92&lt;1,"Minimum separation is 1 foot","OK"))</f>
        <v/>
      </c>
      <c r="F92" s="3"/>
      <c r="G92" s="3"/>
      <c r="H92" s="3"/>
    </row>
    <row r="93" spans="1:8" ht="17.25" x14ac:dyDescent="0.25">
      <c r="A93" s="33" t="s">
        <v>42</v>
      </c>
      <c r="B93" s="108"/>
      <c r="C93" s="19"/>
      <c r="D93" s="65"/>
      <c r="E93" s="72"/>
      <c r="F93" s="17"/>
      <c r="G93" s="17"/>
      <c r="H93" s="17"/>
    </row>
    <row r="94" spans="1:8" ht="30" x14ac:dyDescent="0.25">
      <c r="A94" s="9" t="s">
        <v>92</v>
      </c>
      <c r="B94" s="102"/>
      <c r="C94" s="19"/>
      <c r="D94" s="65"/>
      <c r="E94" s="75"/>
      <c r="F94" s="17"/>
      <c r="G94" s="17"/>
      <c r="H94" s="17"/>
    </row>
    <row r="95" spans="1:8" ht="30" x14ac:dyDescent="0.25">
      <c r="A95" s="9" t="s">
        <v>91</v>
      </c>
      <c r="B95" s="102"/>
      <c r="C95" s="19"/>
      <c r="D95" s="65"/>
      <c r="E95" s="75"/>
      <c r="F95" s="17"/>
      <c r="G95" s="17"/>
      <c r="H95" s="17"/>
    </row>
    <row r="96" spans="1:8" ht="42.75" x14ac:dyDescent="0.25">
      <c r="A96" s="9" t="s">
        <v>93</v>
      </c>
      <c r="B96" s="102"/>
      <c r="C96" s="19"/>
      <c r="D96" s="65"/>
      <c r="E96" s="63" t="str">
        <f>IF(B96="","",IF(B94+B95+B96&lt;3,"Recommend more species","OK"))</f>
        <v/>
      </c>
      <c r="F96" s="17"/>
      <c r="G96" s="17"/>
      <c r="H96" s="17"/>
    </row>
    <row r="97" spans="1:8" ht="17.25" x14ac:dyDescent="0.25">
      <c r="A97" s="9"/>
      <c r="B97" s="108"/>
      <c r="C97" s="19"/>
      <c r="D97" s="65"/>
      <c r="E97" s="75"/>
      <c r="F97" s="17"/>
      <c r="G97" s="17"/>
      <c r="H97" s="17"/>
    </row>
    <row r="98" spans="1:8" ht="17.25" x14ac:dyDescent="0.25">
      <c r="A98" s="5" t="s">
        <v>43</v>
      </c>
      <c r="B98" s="93"/>
      <c r="C98" s="19"/>
      <c r="D98" s="65"/>
      <c r="E98" s="63"/>
      <c r="F98" s="3"/>
      <c r="G98" s="3"/>
      <c r="H98" s="3"/>
    </row>
    <row r="99" spans="1:8" ht="34.5" x14ac:dyDescent="0.25">
      <c r="A99" s="3" t="s">
        <v>44</v>
      </c>
      <c r="B99" s="127"/>
      <c r="C99" s="19" t="s">
        <v>14</v>
      </c>
      <c r="D99" s="65"/>
      <c r="E99" s="63" t="str">
        <f>IF(B99="","",IF(B99="N","Excess volume must bypass cell","OK"))</f>
        <v/>
      </c>
      <c r="F99" s="3"/>
      <c r="G99" s="3"/>
      <c r="H99" s="3"/>
    </row>
    <row r="100" spans="1:8" ht="34.5" x14ac:dyDescent="0.25">
      <c r="A100" s="3" t="s">
        <v>114</v>
      </c>
      <c r="B100" s="127"/>
      <c r="C100" s="19" t="s">
        <v>14</v>
      </c>
      <c r="D100" s="65"/>
      <c r="E100" s="63" t="str">
        <f>IF(B100="","",IF(B100="N","Excess volume must pass through VFS","OK"))</f>
        <v/>
      </c>
      <c r="F100" s="3"/>
      <c r="G100" s="3"/>
      <c r="H100" s="3"/>
    </row>
    <row r="101" spans="1:8" ht="36.75" customHeight="1" x14ac:dyDescent="0.25">
      <c r="A101" s="9" t="s">
        <v>94</v>
      </c>
      <c r="B101" s="102"/>
      <c r="C101" s="19" t="s">
        <v>45</v>
      </c>
      <c r="D101" s="65"/>
      <c r="E101" s="63" t="str">
        <f>IF(B101="","",IF(B101&lt;30,"Minimum 30 feet required",""))</f>
        <v/>
      </c>
      <c r="F101" s="3"/>
      <c r="G101" s="3"/>
      <c r="H101" s="3"/>
    </row>
    <row r="102" spans="1:8" ht="34.5" x14ac:dyDescent="0.25">
      <c r="A102" s="9" t="s">
        <v>46</v>
      </c>
      <c r="B102" s="127"/>
      <c r="C102" s="19" t="s">
        <v>14</v>
      </c>
      <c r="D102" s="65"/>
      <c r="E102" s="63" t="str">
        <f>IF(B102="","",IF(B102="Y","Please submit LS-VFS form","Show that flow is evenly distributed"))</f>
        <v/>
      </c>
      <c r="F102" s="3"/>
      <c r="G102" s="3"/>
      <c r="H102" s="3"/>
    </row>
    <row r="103" spans="1:8" ht="34.5" x14ac:dyDescent="0.25">
      <c r="A103" s="15" t="s">
        <v>47</v>
      </c>
      <c r="B103" s="127"/>
      <c r="C103" s="19" t="s">
        <v>14</v>
      </c>
      <c r="D103" s="65"/>
      <c r="E103" s="63" t="str">
        <f>IF(B103="","",IF(B103="N","BMP must be sufficient distance from surface waters","OK"))</f>
        <v/>
      </c>
      <c r="F103" s="3"/>
      <c r="G103" s="3"/>
      <c r="H103" s="3"/>
    </row>
    <row r="104" spans="1:8" ht="34.5" x14ac:dyDescent="0.25">
      <c r="A104" s="15" t="s">
        <v>48</v>
      </c>
      <c r="B104" s="127"/>
      <c r="C104" s="19" t="s">
        <v>14</v>
      </c>
      <c r="D104" s="65"/>
      <c r="E104" s="63" t="str">
        <f>IF(B104="","",IF(B104="N","Minimum distance is 100 feet","OK"))</f>
        <v/>
      </c>
      <c r="F104" s="3"/>
      <c r="G104" s="3"/>
      <c r="H104" s="3"/>
    </row>
    <row r="105" spans="1:8" ht="17.25" x14ac:dyDescent="0.25">
      <c r="A105" s="3" t="s">
        <v>49</v>
      </c>
      <c r="B105" s="127"/>
      <c r="C105" s="19" t="s">
        <v>14</v>
      </c>
      <c r="D105" s="65"/>
      <c r="E105" s="63" t="str">
        <f>IF(B105="","",IF(B105="N","Minimum 3:1 slopes required","OK"))</f>
        <v/>
      </c>
      <c r="F105" s="3"/>
      <c r="G105" s="3"/>
      <c r="H105" s="3"/>
    </row>
    <row r="106" spans="1:8" ht="34.5" x14ac:dyDescent="0.25">
      <c r="A106" s="3" t="s">
        <v>50</v>
      </c>
      <c r="B106" s="127"/>
      <c r="C106" s="19" t="s">
        <v>14</v>
      </c>
      <c r="D106" s="65"/>
      <c r="E106" s="63" t="str">
        <f>IF(B106="","",IF(B106="N","Please provide drainage easement","OK"))</f>
        <v/>
      </c>
      <c r="F106" s="3"/>
      <c r="G106" s="3"/>
      <c r="H106" s="3"/>
    </row>
    <row r="107" spans="1:8" ht="30" x14ac:dyDescent="0.25">
      <c r="A107" s="3" t="s">
        <v>95</v>
      </c>
      <c r="B107" s="102"/>
      <c r="C107" s="19" t="s">
        <v>51</v>
      </c>
      <c r="D107" s="65"/>
      <c r="E107" s="63" t="str">
        <f>IF(B107="","",IF(B107&lt;=1,"OK","Velocity too fast; use dissipator pads"))</f>
        <v/>
      </c>
      <c r="F107" s="3"/>
      <c r="G107" s="3"/>
      <c r="H107" s="3"/>
    </row>
    <row r="108" spans="1:8" ht="47.25" x14ac:dyDescent="0.25">
      <c r="A108" s="3" t="s">
        <v>96</v>
      </c>
      <c r="B108" s="127"/>
      <c r="C108" s="19" t="s">
        <v>14</v>
      </c>
      <c r="D108" s="65"/>
      <c r="E108" s="63" t="str">
        <f>IF(B108="","",IF(B108="Y","Please provide additional erosion control measures to protect cell","OK"))</f>
        <v/>
      </c>
      <c r="F108" s="3"/>
      <c r="G108" s="3"/>
      <c r="H108" s="3"/>
    </row>
    <row r="109" spans="1:8" ht="34.5" x14ac:dyDescent="0.25">
      <c r="A109" s="3" t="s">
        <v>97</v>
      </c>
      <c r="B109" s="127"/>
      <c r="C109" s="19" t="s">
        <v>14</v>
      </c>
      <c r="D109" s="65"/>
      <c r="E109" s="63" t="str">
        <f>IF(B109="","",IF(B109="Y","Maximum slopes allowed is 20%","OK"))</f>
        <v/>
      </c>
      <c r="F109" s="3"/>
      <c r="G109" s="3"/>
      <c r="H109" s="3"/>
    </row>
    <row r="110" spans="1:8" ht="43.5" customHeight="1" x14ac:dyDescent="0.25">
      <c r="A110" s="3" t="s">
        <v>52</v>
      </c>
      <c r="B110" s="35"/>
      <c r="C110" s="19" t="s">
        <v>14</v>
      </c>
      <c r="D110" s="65"/>
      <c r="E110" s="63" t="str">
        <f>IF(B110="","",IF(B110="N","Please provide additional erosion control measures to protect cell","OK"))</f>
        <v/>
      </c>
      <c r="F110" s="3"/>
      <c r="G110" s="3"/>
      <c r="H110" s="3"/>
    </row>
    <row r="111" spans="1:8" ht="34.5" x14ac:dyDescent="0.25">
      <c r="A111" s="3" t="s">
        <v>53</v>
      </c>
      <c r="B111" s="129"/>
      <c r="C111" s="19"/>
      <c r="D111" s="65"/>
      <c r="E111" s="16"/>
      <c r="F111" s="17"/>
      <c r="G111" s="17"/>
      <c r="H111" s="17"/>
    </row>
    <row r="112" spans="1:8" ht="36.75" x14ac:dyDescent="0.25">
      <c r="A112" s="9" t="s">
        <v>62</v>
      </c>
      <c r="B112" s="102"/>
      <c r="C112" s="19"/>
      <c r="D112" s="65">
        <f>IF(B112="X",1,0)</f>
        <v>0</v>
      </c>
      <c r="E112" s="143" t="str">
        <f>IF(B35="","",IF(SUM(D112:D115)&gt;0,"OK","Pretreatment is required"))</f>
        <v/>
      </c>
      <c r="F112" s="17"/>
      <c r="G112" s="17"/>
      <c r="H112" s="17"/>
    </row>
    <row r="113" spans="1:8" ht="17.25" x14ac:dyDescent="0.25">
      <c r="A113" s="9" t="s">
        <v>54</v>
      </c>
      <c r="B113" s="103"/>
      <c r="C113" s="19"/>
      <c r="D113" s="65">
        <f>IF(B113="X",1,0)</f>
        <v>0</v>
      </c>
      <c r="E113" s="143"/>
      <c r="F113" s="17"/>
      <c r="G113" s="17"/>
      <c r="H113" s="17"/>
    </row>
    <row r="114" spans="1:8" ht="17.25" x14ac:dyDescent="0.25">
      <c r="A114" s="9" t="s">
        <v>55</v>
      </c>
      <c r="B114" s="102"/>
      <c r="C114" s="19"/>
      <c r="D114" s="65">
        <f>IF(B114="X",1,0)</f>
        <v>0</v>
      </c>
      <c r="E114" s="143"/>
      <c r="F114" s="17"/>
      <c r="G114" s="17"/>
      <c r="H114" s="17"/>
    </row>
    <row r="115" spans="1:8" ht="17.25" x14ac:dyDescent="0.25">
      <c r="A115" s="3" t="s">
        <v>56</v>
      </c>
      <c r="B115" s="102"/>
      <c r="C115" s="15"/>
      <c r="D115" s="65">
        <f>IF(B115="X",1,0)</f>
        <v>0</v>
      </c>
      <c r="E115" s="144"/>
      <c r="F115" s="3"/>
      <c r="G115" s="3"/>
      <c r="H115" s="3"/>
    </row>
    <row r="116" spans="1:8" ht="17.25" x14ac:dyDescent="0.25">
      <c r="A116" s="3"/>
      <c r="B116" s="130"/>
      <c r="C116" s="15"/>
      <c r="D116" s="65"/>
      <c r="E116" s="3"/>
      <c r="F116" s="3"/>
      <c r="G116" s="3"/>
      <c r="H116" s="3"/>
    </row>
    <row r="117" spans="1:8" ht="18" x14ac:dyDescent="0.25">
      <c r="A117" s="46" t="s">
        <v>98</v>
      </c>
      <c r="B117" s="131"/>
      <c r="C117" s="53"/>
      <c r="D117" s="83"/>
      <c r="E117" s="54"/>
      <c r="F117" s="3"/>
      <c r="G117" s="3"/>
      <c r="H117" s="3"/>
    </row>
    <row r="118" spans="1:8" ht="18" x14ac:dyDescent="0.25">
      <c r="A118" s="47"/>
      <c r="B118" s="132"/>
      <c r="C118" s="42"/>
      <c r="D118" s="84"/>
      <c r="E118" s="43"/>
      <c r="F118" s="3"/>
      <c r="G118" s="3"/>
      <c r="H118" s="3"/>
    </row>
    <row r="119" spans="1:8" ht="84.75" customHeight="1" x14ac:dyDescent="0.25">
      <c r="A119" s="138" t="s">
        <v>99</v>
      </c>
      <c r="B119" s="138"/>
      <c r="C119" s="138"/>
      <c r="D119" s="138"/>
      <c r="E119" s="138"/>
      <c r="F119" s="3"/>
      <c r="G119" s="3"/>
      <c r="H119" s="3"/>
    </row>
    <row r="120" spans="1:8" ht="17.25" x14ac:dyDescent="0.25">
      <c r="A120" s="44"/>
      <c r="B120" s="133"/>
      <c r="C120" s="45"/>
      <c r="D120" s="85"/>
      <c r="E120" s="43"/>
      <c r="F120" s="3"/>
      <c r="G120" s="3"/>
      <c r="H120" s="3"/>
    </row>
    <row r="121" spans="1:8" ht="17.25" x14ac:dyDescent="0.3">
      <c r="A121" s="136" t="s">
        <v>100</v>
      </c>
      <c r="B121" s="136"/>
      <c r="C121" s="52" t="s">
        <v>101</v>
      </c>
      <c r="D121" s="86"/>
      <c r="E121" s="59"/>
      <c r="F121" s="6"/>
      <c r="G121" s="6"/>
      <c r="H121" s="6"/>
    </row>
    <row r="122" spans="1:8" ht="213.75" customHeight="1" x14ac:dyDescent="0.25">
      <c r="A122" s="137" t="s">
        <v>103</v>
      </c>
      <c r="B122" s="137"/>
      <c r="C122" s="49"/>
      <c r="D122" s="87"/>
      <c r="E122" s="60"/>
      <c r="F122" s="3"/>
      <c r="G122" s="3"/>
      <c r="H122" s="3"/>
    </row>
    <row r="123" spans="1:8" ht="103.5" customHeight="1" x14ac:dyDescent="0.25">
      <c r="A123" s="137" t="s">
        <v>109</v>
      </c>
      <c r="B123" s="137"/>
      <c r="C123" s="50"/>
      <c r="D123" s="88"/>
      <c r="E123" s="58"/>
      <c r="F123" s="3"/>
      <c r="G123" s="3"/>
      <c r="H123" s="3"/>
    </row>
    <row r="124" spans="1:8" ht="66.75" customHeight="1" x14ac:dyDescent="0.25">
      <c r="A124" s="137" t="s">
        <v>110</v>
      </c>
      <c r="B124" s="137"/>
      <c r="C124" s="49"/>
      <c r="D124" s="87"/>
      <c r="E124" s="58"/>
      <c r="F124" s="3"/>
      <c r="G124" s="3"/>
      <c r="H124" s="3"/>
    </row>
    <row r="125" spans="1:8" ht="41.25" customHeight="1" x14ac:dyDescent="0.25">
      <c r="A125" s="137" t="s">
        <v>104</v>
      </c>
      <c r="B125" s="137"/>
      <c r="C125" s="48"/>
      <c r="D125" s="89"/>
      <c r="E125" s="58"/>
      <c r="F125" s="3"/>
      <c r="G125" s="3"/>
      <c r="H125" s="3"/>
    </row>
    <row r="126" spans="1:8" ht="140.25" customHeight="1" x14ac:dyDescent="0.25">
      <c r="A126" s="55" t="s">
        <v>106</v>
      </c>
      <c r="C126" s="51"/>
      <c r="D126" s="90"/>
      <c r="E126" s="58"/>
      <c r="F126" s="6"/>
      <c r="G126" s="6"/>
      <c r="H126" s="6"/>
    </row>
    <row r="127" spans="1:8" ht="38.25" customHeight="1" x14ac:dyDescent="0.25">
      <c r="A127" s="137" t="s">
        <v>107</v>
      </c>
      <c r="B127" s="137"/>
      <c r="C127" s="51"/>
      <c r="D127" s="90"/>
      <c r="E127" s="58"/>
      <c r="F127" s="6"/>
      <c r="G127" s="6"/>
      <c r="H127" s="6"/>
    </row>
    <row r="128" spans="1:8" ht="17.25" x14ac:dyDescent="0.25">
      <c r="A128" s="137" t="s">
        <v>102</v>
      </c>
      <c r="B128" s="137"/>
      <c r="C128" s="51"/>
      <c r="D128" s="90"/>
      <c r="E128" s="58"/>
      <c r="F128" s="6"/>
      <c r="G128" s="6"/>
      <c r="H128" s="6"/>
    </row>
    <row r="129" spans="1:5" ht="51" customHeight="1" x14ac:dyDescent="0.25">
      <c r="A129" s="137" t="s">
        <v>105</v>
      </c>
      <c r="B129" s="137"/>
      <c r="C129" s="51"/>
      <c r="D129" s="90"/>
      <c r="E129" s="58"/>
    </row>
    <row r="130" spans="1:5" ht="17.25" x14ac:dyDescent="0.25">
      <c r="B130" s="130"/>
      <c r="C130" s="15"/>
      <c r="D130" s="65"/>
    </row>
    <row r="131" spans="1:5" ht="17.25" x14ac:dyDescent="0.25">
      <c r="B131" s="130"/>
      <c r="C131" s="15"/>
      <c r="D131" s="65"/>
    </row>
    <row r="132" spans="1:5" ht="17.25" x14ac:dyDescent="0.25">
      <c r="B132" s="99"/>
      <c r="C132" s="19"/>
      <c r="D132" s="65"/>
    </row>
    <row r="133" spans="1:5" ht="17.25" x14ac:dyDescent="0.25">
      <c r="B133" s="99"/>
      <c r="C133" s="19"/>
      <c r="D133" s="65"/>
    </row>
    <row r="134" spans="1:5" ht="17.25" x14ac:dyDescent="0.25">
      <c r="B134" s="99"/>
      <c r="C134" s="19"/>
      <c r="D134" s="65"/>
    </row>
    <row r="135" spans="1:5" ht="17.25" x14ac:dyDescent="0.25">
      <c r="B135" s="99"/>
      <c r="C135" s="19"/>
      <c r="D135" s="65"/>
    </row>
    <row r="136" spans="1:5" ht="17.25" x14ac:dyDescent="0.25">
      <c r="B136" s="99"/>
      <c r="C136" s="19"/>
      <c r="D136" s="65"/>
    </row>
  </sheetData>
  <mergeCells count="18">
    <mergeCell ref="A123:B123"/>
    <mergeCell ref="A125:B125"/>
    <mergeCell ref="A128:B128"/>
    <mergeCell ref="A129:B129"/>
    <mergeCell ref="A124:B124"/>
    <mergeCell ref="A127:B127"/>
    <mergeCell ref="A2:E2"/>
    <mergeCell ref="A3:E3"/>
    <mergeCell ref="A121:B121"/>
    <mergeCell ref="A122:B122"/>
    <mergeCell ref="A119:E119"/>
    <mergeCell ref="B11:E11"/>
    <mergeCell ref="A13:E13"/>
    <mergeCell ref="E112:E115"/>
    <mergeCell ref="A4:E4"/>
    <mergeCell ref="B10:E10"/>
    <mergeCell ref="B7:E7"/>
    <mergeCell ref="B8:E8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Reference!$A$1:$A$2</xm:f>
          </x14:formula1>
          <xm:sqref>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Entire Form</vt:lpstr>
      <vt:lpstr>Reference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Leah</dc:creator>
  <cp:lastModifiedBy>Ben Woody</cp:lastModifiedBy>
  <cp:lastPrinted>2013-08-29T18:04:35Z</cp:lastPrinted>
  <dcterms:created xsi:type="dcterms:W3CDTF">2011-12-05T21:31:46Z</dcterms:created>
  <dcterms:modified xsi:type="dcterms:W3CDTF">2013-08-29T18:04:39Z</dcterms:modified>
</cp:coreProperties>
</file>